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Quality_Team\Aaron\Presentations\Quality Assurance Committee Presentations\Sept Xth\"/>
    </mc:Choice>
  </mc:AlternateContent>
  <bookViews>
    <workbookView xWindow="0" yWindow="0" windowWidth="21570" windowHeight="9495" activeTab="1"/>
  </bookViews>
  <sheets>
    <sheet name="Main" sheetId="1" r:id="rId1"/>
    <sheet name="Sheet2" sheetId="2" r:id="rId2"/>
  </sheets>
  <definedNames>
    <definedName name="_xlnm._FilterDatabase" localSheetId="0" hidden="1">Main!$A$2:$Z$2</definedName>
    <definedName name="_xlnm.Print_Area" localSheetId="1">Sheet2!$A:$D</definedName>
    <definedName name="_xlnm.Print_Titles" localSheetId="1">Sheet2!$1:$1</definedName>
  </definedNames>
  <calcPr calcId="152511"/>
</workbook>
</file>

<file path=xl/calcChain.xml><?xml version="1.0" encoding="utf-8"?>
<calcChain xmlns="http://schemas.openxmlformats.org/spreadsheetml/2006/main">
  <c r="J146" i="1" l="1"/>
  <c r="J147" i="1" s="1"/>
  <c r="I146" i="1"/>
  <c r="I147" i="1" s="1"/>
  <c r="Z141" i="1"/>
  <c r="X141" i="1"/>
  <c r="W141" i="1"/>
  <c r="V141" i="1"/>
  <c r="U141" i="1"/>
  <c r="T141" i="1"/>
  <c r="Z140" i="1"/>
  <c r="X140" i="1"/>
  <c r="W140" i="1"/>
  <c r="V140" i="1"/>
  <c r="U140" i="1"/>
  <c r="T140" i="1"/>
  <c r="Z139" i="1"/>
  <c r="X139" i="1"/>
  <c r="W139" i="1"/>
  <c r="V139" i="1"/>
  <c r="U139" i="1"/>
  <c r="T139" i="1"/>
  <c r="Z138" i="1"/>
  <c r="X138" i="1"/>
  <c r="W138" i="1"/>
  <c r="V138" i="1"/>
  <c r="U138" i="1"/>
  <c r="T138" i="1"/>
  <c r="Z137" i="1"/>
  <c r="X137" i="1"/>
  <c r="W137" i="1"/>
  <c r="V137" i="1"/>
  <c r="Q137" i="1"/>
  <c r="M137" i="1"/>
  <c r="I137" i="1"/>
  <c r="P137" i="1" s="1"/>
  <c r="R137" i="1" s="1"/>
  <c r="F137" i="1"/>
  <c r="Z136" i="1"/>
  <c r="X136" i="1"/>
  <c r="W136" i="1"/>
  <c r="V136" i="1"/>
  <c r="Q136" i="1"/>
  <c r="M136" i="1"/>
  <c r="I136" i="1"/>
  <c r="P136" i="1" s="1"/>
  <c r="R136" i="1" s="1"/>
  <c r="F136" i="1"/>
  <c r="Z135" i="1"/>
  <c r="X135" i="1"/>
  <c r="W135" i="1"/>
  <c r="V135" i="1"/>
  <c r="Q135" i="1"/>
  <c r="M135" i="1"/>
  <c r="I135" i="1"/>
  <c r="F135" i="1"/>
  <c r="Z134" i="1"/>
  <c r="X134" i="1"/>
  <c r="W134" i="1"/>
  <c r="V134" i="1"/>
  <c r="Q134" i="1"/>
  <c r="M134" i="1"/>
  <c r="I134" i="1"/>
  <c r="F134" i="1"/>
  <c r="Z133" i="1"/>
  <c r="X133" i="1"/>
  <c r="W133" i="1"/>
  <c r="V133" i="1"/>
  <c r="Q133" i="1"/>
  <c r="M133" i="1"/>
  <c r="I133" i="1"/>
  <c r="F133" i="1"/>
  <c r="Z132" i="1"/>
  <c r="X132" i="1"/>
  <c r="W132" i="1"/>
  <c r="V132" i="1"/>
  <c r="Q132" i="1"/>
  <c r="M132" i="1"/>
  <c r="I132" i="1"/>
  <c r="F132" i="1"/>
  <c r="Z131" i="1"/>
  <c r="X131" i="1"/>
  <c r="W131" i="1"/>
  <c r="V131" i="1"/>
  <c r="Q131" i="1"/>
  <c r="M131" i="1"/>
  <c r="I131" i="1"/>
  <c r="F131" i="1"/>
  <c r="Z130" i="1"/>
  <c r="X130" i="1"/>
  <c r="W130" i="1"/>
  <c r="V130" i="1"/>
  <c r="Q130" i="1"/>
  <c r="M130" i="1"/>
  <c r="I130" i="1"/>
  <c r="F130" i="1"/>
  <c r="Z129" i="1"/>
  <c r="X129" i="1"/>
  <c r="W129" i="1"/>
  <c r="V129" i="1"/>
  <c r="Q129" i="1"/>
  <c r="M129" i="1"/>
  <c r="I129" i="1"/>
  <c r="F129" i="1"/>
  <c r="Z128" i="1"/>
  <c r="X128" i="1"/>
  <c r="W128" i="1"/>
  <c r="V128" i="1"/>
  <c r="Q128" i="1"/>
  <c r="M128" i="1"/>
  <c r="I128" i="1"/>
  <c r="F128" i="1"/>
  <c r="Z127" i="1"/>
  <c r="X127" i="1"/>
  <c r="W127" i="1"/>
  <c r="V127" i="1"/>
  <c r="Q127" i="1"/>
  <c r="M127" i="1"/>
  <c r="I127" i="1"/>
  <c r="F127" i="1"/>
  <c r="Z126" i="1"/>
  <c r="X126" i="1"/>
  <c r="W126" i="1"/>
  <c r="V126" i="1"/>
  <c r="Q126" i="1"/>
  <c r="M126" i="1"/>
  <c r="I126" i="1"/>
  <c r="F126" i="1"/>
  <c r="Z125" i="1"/>
  <c r="X125" i="1"/>
  <c r="W125" i="1"/>
  <c r="V125" i="1"/>
  <c r="Q125" i="1"/>
  <c r="M125" i="1"/>
  <c r="I125" i="1"/>
  <c r="F125" i="1"/>
  <c r="Z124" i="1"/>
  <c r="X124" i="1"/>
  <c r="W124" i="1"/>
  <c r="V124" i="1"/>
  <c r="Q124" i="1"/>
  <c r="M124" i="1"/>
  <c r="I124" i="1"/>
  <c r="F124" i="1"/>
  <c r="Z123" i="1"/>
  <c r="X123" i="1"/>
  <c r="W123" i="1"/>
  <c r="V123" i="1"/>
  <c r="Q123" i="1"/>
  <c r="P123" i="1"/>
  <c r="R123" i="1" s="1"/>
  <c r="T123" i="1" s="1"/>
  <c r="Z122" i="1"/>
  <c r="X122" i="1"/>
  <c r="W122" i="1"/>
  <c r="V122" i="1"/>
  <c r="Q122" i="1"/>
  <c r="P122" i="1"/>
  <c r="R122" i="1" s="1"/>
  <c r="Z121" i="1"/>
  <c r="X121" i="1"/>
  <c r="W121" i="1"/>
  <c r="V121" i="1"/>
  <c r="Q121" i="1"/>
  <c r="P121" i="1"/>
  <c r="R121" i="1" s="1"/>
  <c r="Z120" i="1"/>
  <c r="X120" i="1"/>
  <c r="W120" i="1"/>
  <c r="V120" i="1"/>
  <c r="Q120" i="1"/>
  <c r="P120" i="1"/>
  <c r="R120" i="1" s="1"/>
  <c r="Z119" i="1"/>
  <c r="X119" i="1"/>
  <c r="W119" i="1"/>
  <c r="V119" i="1"/>
  <c r="Q119" i="1"/>
  <c r="P119" i="1"/>
  <c r="R119" i="1" s="1"/>
  <c r="T119" i="1" s="1"/>
  <c r="Z118" i="1"/>
  <c r="X118" i="1"/>
  <c r="W118" i="1"/>
  <c r="V118" i="1"/>
  <c r="Q118" i="1"/>
  <c r="M118" i="1"/>
  <c r="I118" i="1"/>
  <c r="P118" i="1" s="1"/>
  <c r="F118" i="1"/>
  <c r="Z117" i="1"/>
  <c r="X117" i="1"/>
  <c r="W117" i="1"/>
  <c r="V117" i="1"/>
  <c r="Q117" i="1"/>
  <c r="M117" i="1"/>
  <c r="I117" i="1"/>
  <c r="P117" i="1" s="1"/>
  <c r="F117" i="1"/>
  <c r="Z116" i="1"/>
  <c r="X116" i="1"/>
  <c r="W116" i="1"/>
  <c r="V116" i="1"/>
  <c r="Q116" i="1"/>
  <c r="P116" i="1"/>
  <c r="R116" i="1" s="1"/>
  <c r="Z115" i="1"/>
  <c r="X115" i="1"/>
  <c r="W115" i="1"/>
  <c r="V115" i="1"/>
  <c r="Q115" i="1"/>
  <c r="P115" i="1"/>
  <c r="Z114" i="1"/>
  <c r="X114" i="1"/>
  <c r="W114" i="1"/>
  <c r="V114" i="1"/>
  <c r="Q114" i="1"/>
  <c r="P114" i="1"/>
  <c r="Z113" i="1"/>
  <c r="X113" i="1"/>
  <c r="W113" i="1"/>
  <c r="V113" i="1"/>
  <c r="R113" i="1"/>
  <c r="T113" i="1" s="1"/>
  <c r="Q113" i="1"/>
  <c r="P113" i="1"/>
  <c r="Z112" i="1"/>
  <c r="X112" i="1"/>
  <c r="W112" i="1"/>
  <c r="V112" i="1"/>
  <c r="R112" i="1"/>
  <c r="U112" i="1" s="1"/>
  <c r="Q112" i="1"/>
  <c r="P112" i="1"/>
  <c r="Z111" i="1"/>
  <c r="X111" i="1"/>
  <c r="W111" i="1"/>
  <c r="V111" i="1"/>
  <c r="Q111" i="1"/>
  <c r="P111" i="1"/>
  <c r="R111" i="1" s="1"/>
  <c r="Z110" i="1"/>
  <c r="X110" i="1"/>
  <c r="W110" i="1"/>
  <c r="V110" i="1"/>
  <c r="Q110" i="1"/>
  <c r="P110" i="1"/>
  <c r="R110" i="1" s="1"/>
  <c r="Z109" i="1"/>
  <c r="X109" i="1"/>
  <c r="W109" i="1"/>
  <c r="V109" i="1"/>
  <c r="Q109" i="1"/>
  <c r="R109" i="1" s="1"/>
  <c r="T109" i="1" s="1"/>
  <c r="P109" i="1"/>
  <c r="Z108" i="1"/>
  <c r="X108" i="1"/>
  <c r="W108" i="1"/>
  <c r="V108" i="1"/>
  <c r="Q108" i="1"/>
  <c r="R108" i="1" s="1"/>
  <c r="P108" i="1"/>
  <c r="Z107" i="1"/>
  <c r="X107" i="1"/>
  <c r="W107" i="1"/>
  <c r="V107" i="1"/>
  <c r="Q107" i="1"/>
  <c r="P107" i="1"/>
  <c r="Z106" i="1"/>
  <c r="X106" i="1"/>
  <c r="W106" i="1"/>
  <c r="V106" i="1"/>
  <c r="Q106" i="1"/>
  <c r="P106" i="1"/>
  <c r="Z105" i="1"/>
  <c r="X105" i="1"/>
  <c r="W105" i="1"/>
  <c r="V105" i="1"/>
  <c r="Q105" i="1"/>
  <c r="P105" i="1"/>
  <c r="R105" i="1" s="1"/>
  <c r="T105" i="1" s="1"/>
  <c r="Z104" i="1"/>
  <c r="X104" i="1"/>
  <c r="W104" i="1"/>
  <c r="V104" i="1"/>
  <c r="Q104" i="1"/>
  <c r="P104" i="1"/>
  <c r="R104" i="1" s="1"/>
  <c r="Z103" i="1"/>
  <c r="X103" i="1"/>
  <c r="W103" i="1"/>
  <c r="V103" i="1"/>
  <c r="Q103" i="1"/>
  <c r="P103" i="1"/>
  <c r="R103" i="1" s="1"/>
  <c r="Z102" i="1"/>
  <c r="X102" i="1"/>
  <c r="W102" i="1"/>
  <c r="V102" i="1"/>
  <c r="Q102" i="1"/>
  <c r="P102" i="1"/>
  <c r="R102" i="1" s="1"/>
  <c r="Z101" i="1"/>
  <c r="X101" i="1"/>
  <c r="W101" i="1"/>
  <c r="V101" i="1"/>
  <c r="Q101" i="1"/>
  <c r="P101" i="1"/>
  <c r="R101" i="1" s="1"/>
  <c r="T101" i="1" s="1"/>
  <c r="Z100" i="1"/>
  <c r="X100" i="1"/>
  <c r="W100" i="1"/>
  <c r="V100" i="1"/>
  <c r="Q100" i="1"/>
  <c r="P100" i="1"/>
  <c r="R100" i="1" s="1"/>
  <c r="Z99" i="1"/>
  <c r="X99" i="1"/>
  <c r="W99" i="1"/>
  <c r="V99" i="1"/>
  <c r="Q99" i="1"/>
  <c r="P99" i="1"/>
  <c r="Z98" i="1"/>
  <c r="X98" i="1"/>
  <c r="W98" i="1"/>
  <c r="V98" i="1"/>
  <c r="Q98" i="1"/>
  <c r="P98" i="1"/>
  <c r="Z97" i="1"/>
  <c r="X97" i="1"/>
  <c r="W97" i="1"/>
  <c r="V97" i="1"/>
  <c r="R97" i="1"/>
  <c r="T97" i="1" s="1"/>
  <c r="Q97" i="1"/>
  <c r="P97" i="1"/>
  <c r="Z96" i="1"/>
  <c r="X96" i="1"/>
  <c r="W96" i="1"/>
  <c r="V96" i="1"/>
  <c r="R96" i="1"/>
  <c r="U96" i="1" s="1"/>
  <c r="Q96" i="1"/>
  <c r="P96" i="1"/>
  <c r="Z95" i="1"/>
  <c r="X95" i="1"/>
  <c r="W95" i="1"/>
  <c r="V95" i="1"/>
  <c r="Q95" i="1"/>
  <c r="P95" i="1"/>
  <c r="R95" i="1" s="1"/>
  <c r="Z94" i="1"/>
  <c r="X94" i="1"/>
  <c r="W94" i="1"/>
  <c r="V94" i="1"/>
  <c r="Q94" i="1"/>
  <c r="P94" i="1"/>
  <c r="R94" i="1" s="1"/>
  <c r="Z93" i="1"/>
  <c r="X93" i="1"/>
  <c r="W93" i="1"/>
  <c r="V93" i="1"/>
  <c r="Q93" i="1"/>
  <c r="R93" i="1" s="1"/>
  <c r="T93" i="1" s="1"/>
  <c r="P93" i="1"/>
  <c r="Z92" i="1"/>
  <c r="X92" i="1"/>
  <c r="W92" i="1"/>
  <c r="V92" i="1"/>
  <c r="Q92" i="1"/>
  <c r="R92" i="1" s="1"/>
  <c r="P92" i="1"/>
  <c r="Z91" i="1"/>
  <c r="X91" i="1"/>
  <c r="W91" i="1"/>
  <c r="V91" i="1"/>
  <c r="Q91" i="1"/>
  <c r="P91" i="1"/>
  <c r="Z90" i="1"/>
  <c r="X90" i="1"/>
  <c r="W90" i="1"/>
  <c r="V90" i="1"/>
  <c r="Q90" i="1"/>
  <c r="P90" i="1"/>
  <c r="Z89" i="1"/>
  <c r="X89" i="1"/>
  <c r="W89" i="1"/>
  <c r="V89" i="1"/>
  <c r="Q89" i="1"/>
  <c r="P89" i="1"/>
  <c r="R89" i="1" s="1"/>
  <c r="T89" i="1" s="1"/>
  <c r="Z88" i="1"/>
  <c r="X88" i="1"/>
  <c r="W88" i="1"/>
  <c r="V88" i="1"/>
  <c r="Q88" i="1"/>
  <c r="P88" i="1"/>
  <c r="R88" i="1" s="1"/>
  <c r="Z87" i="1"/>
  <c r="X87" i="1"/>
  <c r="W87" i="1"/>
  <c r="V87" i="1"/>
  <c r="Q87" i="1"/>
  <c r="P87" i="1"/>
  <c r="R87" i="1" s="1"/>
  <c r="Z86" i="1"/>
  <c r="X86" i="1"/>
  <c r="W86" i="1"/>
  <c r="V86" i="1"/>
  <c r="Q86" i="1"/>
  <c r="P86" i="1"/>
  <c r="R86" i="1" s="1"/>
  <c r="Z85" i="1"/>
  <c r="X85" i="1"/>
  <c r="W85" i="1"/>
  <c r="V85" i="1"/>
  <c r="Q85" i="1"/>
  <c r="P85" i="1"/>
  <c r="R85" i="1" s="1"/>
  <c r="T85" i="1" s="1"/>
  <c r="Z84" i="1"/>
  <c r="X84" i="1"/>
  <c r="W84" i="1"/>
  <c r="V84" i="1"/>
  <c r="Q84" i="1"/>
  <c r="P84" i="1"/>
  <c r="R84" i="1" s="1"/>
  <c r="Z83" i="1"/>
  <c r="X83" i="1"/>
  <c r="W83" i="1"/>
  <c r="V83" i="1"/>
  <c r="Q83" i="1"/>
  <c r="P83" i="1"/>
  <c r="Z82" i="1"/>
  <c r="X82" i="1"/>
  <c r="W82" i="1"/>
  <c r="V82" i="1"/>
  <c r="Q82" i="1"/>
  <c r="P82" i="1"/>
  <c r="Z81" i="1"/>
  <c r="X81" i="1"/>
  <c r="W81" i="1"/>
  <c r="V81" i="1"/>
  <c r="R81" i="1"/>
  <c r="T81" i="1" s="1"/>
  <c r="Q81" i="1"/>
  <c r="P81" i="1"/>
  <c r="Z80" i="1"/>
  <c r="X80" i="1"/>
  <c r="W80" i="1"/>
  <c r="V80" i="1"/>
  <c r="R80" i="1"/>
  <c r="U80" i="1" s="1"/>
  <c r="Q80" i="1"/>
  <c r="P80" i="1"/>
  <c r="Z79" i="1"/>
  <c r="X79" i="1"/>
  <c r="W79" i="1"/>
  <c r="V79" i="1"/>
  <c r="Q79" i="1"/>
  <c r="P79" i="1"/>
  <c r="R79" i="1" s="1"/>
  <c r="Z78" i="1"/>
  <c r="X78" i="1"/>
  <c r="W78" i="1"/>
  <c r="V78" i="1"/>
  <c r="Q78" i="1"/>
  <c r="P78" i="1"/>
  <c r="R78" i="1" s="1"/>
  <c r="Z77" i="1"/>
  <c r="X77" i="1"/>
  <c r="W77" i="1"/>
  <c r="V77" i="1"/>
  <c r="Q77" i="1"/>
  <c r="R77" i="1" s="1"/>
  <c r="T77" i="1" s="1"/>
  <c r="P77" i="1"/>
  <c r="Z76" i="1"/>
  <c r="X76" i="1"/>
  <c r="W76" i="1"/>
  <c r="V76" i="1"/>
  <c r="Q76" i="1"/>
  <c r="R76" i="1" s="1"/>
  <c r="P76" i="1"/>
  <c r="Z75" i="1"/>
  <c r="X75" i="1"/>
  <c r="W75" i="1"/>
  <c r="V75" i="1"/>
  <c r="Q75" i="1"/>
  <c r="P75" i="1"/>
  <c r="Z74" i="1"/>
  <c r="X74" i="1"/>
  <c r="W74" i="1"/>
  <c r="V74" i="1"/>
  <c r="Q74" i="1"/>
  <c r="P74" i="1"/>
  <c r="Z73" i="1"/>
  <c r="X73" i="1"/>
  <c r="W73" i="1"/>
  <c r="V73" i="1"/>
  <c r="Q73" i="1"/>
  <c r="P73" i="1"/>
  <c r="R73" i="1" s="1"/>
  <c r="T73" i="1" s="1"/>
  <c r="Z72" i="1"/>
  <c r="X72" i="1"/>
  <c r="W72" i="1"/>
  <c r="V72" i="1"/>
  <c r="Q72" i="1"/>
  <c r="P72" i="1"/>
  <c r="R72" i="1" s="1"/>
  <c r="Z71" i="1"/>
  <c r="X71" i="1"/>
  <c r="W71" i="1"/>
  <c r="V71" i="1"/>
  <c r="Q71" i="1"/>
  <c r="M71" i="1"/>
  <c r="F71" i="1"/>
  <c r="P71" i="1" s="1"/>
  <c r="R71" i="1" s="1"/>
  <c r="Z70" i="1"/>
  <c r="X70" i="1"/>
  <c r="W70" i="1"/>
  <c r="V70" i="1"/>
  <c r="Q70" i="1"/>
  <c r="M70" i="1"/>
  <c r="I70" i="1"/>
  <c r="F70" i="1"/>
  <c r="Z69" i="1"/>
  <c r="X69" i="1"/>
  <c r="W69" i="1"/>
  <c r="V69" i="1"/>
  <c r="Q69" i="1"/>
  <c r="M69" i="1"/>
  <c r="I69" i="1"/>
  <c r="F69" i="1"/>
  <c r="Z68" i="1"/>
  <c r="X68" i="1"/>
  <c r="W68" i="1"/>
  <c r="V68" i="1"/>
  <c r="Q68" i="1"/>
  <c r="M68" i="1"/>
  <c r="I68" i="1"/>
  <c r="F68" i="1"/>
  <c r="Z67" i="1"/>
  <c r="X67" i="1"/>
  <c r="W67" i="1"/>
  <c r="V67" i="1"/>
  <c r="Q67" i="1"/>
  <c r="M67" i="1"/>
  <c r="I67" i="1"/>
  <c r="F67" i="1"/>
  <c r="Z66" i="1"/>
  <c r="X66" i="1"/>
  <c r="W66" i="1"/>
  <c r="V66" i="1"/>
  <c r="Q66" i="1"/>
  <c r="M66" i="1"/>
  <c r="I66" i="1"/>
  <c r="F66" i="1"/>
  <c r="Z65" i="1"/>
  <c r="X65" i="1"/>
  <c r="W65" i="1"/>
  <c r="V65" i="1"/>
  <c r="Q65" i="1"/>
  <c r="M65" i="1"/>
  <c r="I65" i="1"/>
  <c r="F65" i="1"/>
  <c r="Z64" i="1"/>
  <c r="X64" i="1"/>
  <c r="W64" i="1"/>
  <c r="V64" i="1"/>
  <c r="Q64" i="1"/>
  <c r="P64" i="1"/>
  <c r="R64" i="1" s="1"/>
  <c r="Z63" i="1"/>
  <c r="X63" i="1"/>
  <c r="W63" i="1"/>
  <c r="V63" i="1"/>
  <c r="Q63" i="1"/>
  <c r="P63" i="1"/>
  <c r="R63" i="1" s="1"/>
  <c r="Z62" i="1"/>
  <c r="X62" i="1"/>
  <c r="W62" i="1"/>
  <c r="V62" i="1"/>
  <c r="Q62" i="1"/>
  <c r="P62" i="1"/>
  <c r="R62" i="1" s="1"/>
  <c r="Z61" i="1"/>
  <c r="X61" i="1"/>
  <c r="W61" i="1"/>
  <c r="V61" i="1"/>
  <c r="Q61" i="1"/>
  <c r="P61" i="1"/>
  <c r="R61" i="1" s="1"/>
  <c r="T61" i="1" s="1"/>
  <c r="Z60" i="1"/>
  <c r="X60" i="1"/>
  <c r="W60" i="1"/>
  <c r="V60" i="1"/>
  <c r="Q60" i="1"/>
  <c r="P60" i="1"/>
  <c r="R60" i="1" s="1"/>
  <c r="Z59" i="1"/>
  <c r="X59" i="1"/>
  <c r="W59" i="1"/>
  <c r="V59" i="1"/>
  <c r="Q59" i="1"/>
  <c r="P59" i="1"/>
  <c r="Z58" i="1"/>
  <c r="X58" i="1"/>
  <c r="W58" i="1"/>
  <c r="V58" i="1"/>
  <c r="Q58" i="1"/>
  <c r="P58" i="1"/>
  <c r="Z57" i="1"/>
  <c r="X57" i="1"/>
  <c r="W57" i="1"/>
  <c r="V57" i="1"/>
  <c r="R57" i="1"/>
  <c r="T57" i="1" s="1"/>
  <c r="Q57" i="1"/>
  <c r="P57" i="1"/>
  <c r="Z56" i="1"/>
  <c r="X56" i="1"/>
  <c r="W56" i="1"/>
  <c r="V56" i="1"/>
  <c r="R56" i="1"/>
  <c r="U56" i="1" s="1"/>
  <c r="Q56" i="1"/>
  <c r="P56" i="1"/>
  <c r="Z55" i="1"/>
  <c r="X55" i="1"/>
  <c r="W55" i="1"/>
  <c r="V55" i="1"/>
  <c r="Q55" i="1"/>
  <c r="P55" i="1"/>
  <c r="R55" i="1" s="1"/>
  <c r="Z54" i="1"/>
  <c r="X54" i="1"/>
  <c r="W54" i="1"/>
  <c r="V54" i="1"/>
  <c r="Q54" i="1"/>
  <c r="P54" i="1"/>
  <c r="R54" i="1" s="1"/>
  <c r="Z53" i="1"/>
  <c r="X53" i="1"/>
  <c r="W53" i="1"/>
  <c r="V53" i="1"/>
  <c r="Q53" i="1"/>
  <c r="R53" i="1" s="1"/>
  <c r="T53" i="1" s="1"/>
  <c r="P53" i="1"/>
  <c r="Z52" i="1"/>
  <c r="X52" i="1"/>
  <c r="W52" i="1"/>
  <c r="V52" i="1"/>
  <c r="Q52" i="1"/>
  <c r="R52" i="1" s="1"/>
  <c r="P52" i="1"/>
  <c r="Z51" i="1"/>
  <c r="X51" i="1"/>
  <c r="W51" i="1"/>
  <c r="V51" i="1"/>
  <c r="Q51" i="1"/>
  <c r="P51" i="1"/>
  <c r="Z50" i="1"/>
  <c r="X50" i="1"/>
  <c r="W50" i="1"/>
  <c r="V50" i="1"/>
  <c r="Q50" i="1"/>
  <c r="P50" i="1"/>
  <c r="Z49" i="1"/>
  <c r="X49" i="1"/>
  <c r="W49" i="1"/>
  <c r="V49" i="1"/>
  <c r="Q49" i="1"/>
  <c r="P49" i="1"/>
  <c r="R49" i="1" s="1"/>
  <c r="T49" i="1" s="1"/>
  <c r="Z48" i="1"/>
  <c r="X48" i="1"/>
  <c r="W48" i="1"/>
  <c r="V48" i="1"/>
  <c r="Q48" i="1"/>
  <c r="P48" i="1"/>
  <c r="R48" i="1" s="1"/>
  <c r="Z47" i="1"/>
  <c r="X47" i="1"/>
  <c r="W47" i="1"/>
  <c r="V47" i="1"/>
  <c r="Q47" i="1"/>
  <c r="P47" i="1"/>
  <c r="R47" i="1" s="1"/>
  <c r="Z46" i="1"/>
  <c r="X46" i="1"/>
  <c r="W46" i="1"/>
  <c r="V46" i="1"/>
  <c r="Q46" i="1"/>
  <c r="P46" i="1"/>
  <c r="R46" i="1" s="1"/>
  <c r="Z45" i="1"/>
  <c r="X45" i="1"/>
  <c r="W45" i="1"/>
  <c r="V45" i="1"/>
  <c r="Q45" i="1"/>
  <c r="P45" i="1"/>
  <c r="R45" i="1" s="1"/>
  <c r="T45" i="1" s="1"/>
  <c r="Z44" i="1"/>
  <c r="X44" i="1"/>
  <c r="W44" i="1"/>
  <c r="V44" i="1"/>
  <c r="Q44" i="1"/>
  <c r="P44" i="1"/>
  <c r="R44" i="1" s="1"/>
  <c r="Z43" i="1"/>
  <c r="X43" i="1"/>
  <c r="W43" i="1"/>
  <c r="V43" i="1"/>
  <c r="Q43" i="1"/>
  <c r="P43" i="1"/>
  <c r="Z42" i="1"/>
  <c r="X42" i="1"/>
  <c r="W42" i="1"/>
  <c r="V42" i="1"/>
  <c r="Q42" i="1"/>
  <c r="P42" i="1"/>
  <c r="Z41" i="1"/>
  <c r="X41" i="1"/>
  <c r="W41" i="1"/>
  <c r="V41" i="1"/>
  <c r="R41" i="1"/>
  <c r="T41" i="1" s="1"/>
  <c r="Q41" i="1"/>
  <c r="P41" i="1"/>
  <c r="Z40" i="1"/>
  <c r="X40" i="1"/>
  <c r="W40" i="1"/>
  <c r="V40" i="1"/>
  <c r="R40" i="1"/>
  <c r="U40" i="1" s="1"/>
  <c r="Q40" i="1"/>
  <c r="P40" i="1"/>
  <c r="Z39" i="1"/>
  <c r="X39" i="1"/>
  <c r="W39" i="1"/>
  <c r="V39" i="1"/>
  <c r="Q39" i="1"/>
  <c r="P39" i="1"/>
  <c r="R39" i="1" s="1"/>
  <c r="Z38" i="1"/>
  <c r="X38" i="1"/>
  <c r="W38" i="1"/>
  <c r="V38" i="1"/>
  <c r="Q38" i="1"/>
  <c r="P38" i="1"/>
  <c r="R38" i="1" s="1"/>
  <c r="Z37" i="1"/>
  <c r="X37" i="1"/>
  <c r="W37" i="1"/>
  <c r="V37" i="1"/>
  <c r="Q37" i="1"/>
  <c r="R37" i="1" s="1"/>
  <c r="T37" i="1" s="1"/>
  <c r="P37" i="1"/>
  <c r="Z36" i="1"/>
  <c r="X36" i="1"/>
  <c r="W36" i="1"/>
  <c r="V36" i="1"/>
  <c r="Q36" i="1"/>
  <c r="R36" i="1" s="1"/>
  <c r="P36" i="1"/>
  <c r="Z35" i="1"/>
  <c r="X35" i="1"/>
  <c r="W35" i="1"/>
  <c r="V35" i="1"/>
  <c r="Q35" i="1"/>
  <c r="P35" i="1"/>
  <c r="Z34" i="1"/>
  <c r="X34" i="1"/>
  <c r="W34" i="1"/>
  <c r="V34" i="1"/>
  <c r="Q34" i="1"/>
  <c r="P34" i="1"/>
  <c r="Z33" i="1"/>
  <c r="X33" i="1"/>
  <c r="W33" i="1"/>
  <c r="V33" i="1"/>
  <c r="Q33" i="1"/>
  <c r="P33" i="1"/>
  <c r="R33" i="1" s="1"/>
  <c r="T33" i="1" s="1"/>
  <c r="Z32" i="1"/>
  <c r="X32" i="1"/>
  <c r="W32" i="1"/>
  <c r="V32" i="1"/>
  <c r="Q32" i="1"/>
  <c r="M32" i="1"/>
  <c r="I32" i="1"/>
  <c r="F32" i="1"/>
  <c r="P32" i="1" s="1"/>
  <c r="R32" i="1" s="1"/>
  <c r="Z31" i="1"/>
  <c r="X31" i="1"/>
  <c r="W31" i="1"/>
  <c r="V31" i="1"/>
  <c r="Q31" i="1"/>
  <c r="P31" i="1"/>
  <c r="R31" i="1" s="1"/>
  <c r="Z30" i="1"/>
  <c r="X30" i="1"/>
  <c r="W30" i="1"/>
  <c r="V30" i="1"/>
  <c r="Q30" i="1"/>
  <c r="M30" i="1"/>
  <c r="I30" i="1"/>
  <c r="P30" i="1" s="1"/>
  <c r="R30" i="1" s="1"/>
  <c r="F30" i="1"/>
  <c r="Z29" i="1"/>
  <c r="X29" i="1"/>
  <c r="W29" i="1"/>
  <c r="V29" i="1"/>
  <c r="Q29" i="1"/>
  <c r="M29" i="1"/>
  <c r="I29" i="1"/>
  <c r="F29" i="1"/>
  <c r="P29" i="1" s="1"/>
  <c r="R29" i="1" s="1"/>
  <c r="Z28" i="1"/>
  <c r="X28" i="1"/>
  <c r="W28" i="1"/>
  <c r="V28" i="1"/>
  <c r="Q28" i="1"/>
  <c r="P28" i="1"/>
  <c r="R28" i="1" s="1"/>
  <c r="M28" i="1"/>
  <c r="I28" i="1"/>
  <c r="F28" i="1"/>
  <c r="Z27" i="1"/>
  <c r="X27" i="1"/>
  <c r="W27" i="1"/>
  <c r="V27" i="1"/>
  <c r="Q27" i="1"/>
  <c r="M27" i="1"/>
  <c r="I27" i="1"/>
  <c r="F27" i="1"/>
  <c r="P27" i="1" s="1"/>
  <c r="R27" i="1" s="1"/>
  <c r="Z26" i="1"/>
  <c r="X26" i="1"/>
  <c r="W26" i="1"/>
  <c r="V26" i="1"/>
  <c r="Q26" i="1"/>
  <c r="M26" i="1"/>
  <c r="I26" i="1"/>
  <c r="P26" i="1" s="1"/>
  <c r="R26" i="1" s="1"/>
  <c r="F26" i="1"/>
  <c r="Z25" i="1"/>
  <c r="X25" i="1"/>
  <c r="W25" i="1"/>
  <c r="V25" i="1"/>
  <c r="Q25" i="1"/>
  <c r="M25" i="1"/>
  <c r="I25" i="1"/>
  <c r="F25" i="1"/>
  <c r="P25" i="1" s="1"/>
  <c r="R25" i="1" s="1"/>
  <c r="Z24" i="1"/>
  <c r="X24" i="1"/>
  <c r="W24" i="1"/>
  <c r="V24" i="1"/>
  <c r="Q24" i="1"/>
  <c r="P24" i="1"/>
  <c r="R24" i="1" s="1"/>
  <c r="M24" i="1"/>
  <c r="I24" i="1"/>
  <c r="F24" i="1"/>
  <c r="Z23" i="1"/>
  <c r="X23" i="1"/>
  <c r="W23" i="1"/>
  <c r="V23" i="1"/>
  <c r="Q23" i="1"/>
  <c r="M23" i="1"/>
  <c r="I23" i="1"/>
  <c r="F23" i="1"/>
  <c r="P23" i="1" s="1"/>
  <c r="R23" i="1" s="1"/>
  <c r="Z22" i="1"/>
  <c r="X22" i="1"/>
  <c r="W22" i="1"/>
  <c r="V22" i="1"/>
  <c r="Q22" i="1"/>
  <c r="M22" i="1"/>
  <c r="I22" i="1"/>
  <c r="P22" i="1" s="1"/>
  <c r="R22" i="1" s="1"/>
  <c r="F22" i="1"/>
  <c r="Z21" i="1"/>
  <c r="X21" i="1"/>
  <c r="W21" i="1"/>
  <c r="V21" i="1"/>
  <c r="Q21" i="1"/>
  <c r="M21" i="1"/>
  <c r="I21" i="1"/>
  <c r="F21" i="1"/>
  <c r="P21" i="1" s="1"/>
  <c r="R21" i="1" s="1"/>
  <c r="Z20" i="1"/>
  <c r="X20" i="1"/>
  <c r="W20" i="1"/>
  <c r="V20" i="1"/>
  <c r="Q20" i="1"/>
  <c r="P20" i="1"/>
  <c r="R20" i="1" s="1"/>
  <c r="M20" i="1"/>
  <c r="I20" i="1"/>
  <c r="F20" i="1"/>
  <c r="Z19" i="1"/>
  <c r="X19" i="1"/>
  <c r="W19" i="1"/>
  <c r="V19" i="1"/>
  <c r="Q19" i="1"/>
  <c r="M19" i="1"/>
  <c r="I19" i="1"/>
  <c r="F19" i="1"/>
  <c r="P19" i="1" s="1"/>
  <c r="R19" i="1" s="1"/>
  <c r="Z18" i="1"/>
  <c r="X18" i="1"/>
  <c r="W18" i="1"/>
  <c r="V18" i="1"/>
  <c r="Q18" i="1"/>
  <c r="M18" i="1"/>
  <c r="I18" i="1"/>
  <c r="P18" i="1" s="1"/>
  <c r="R18" i="1" s="1"/>
  <c r="F18" i="1"/>
  <c r="Z17" i="1"/>
  <c r="X17" i="1"/>
  <c r="W17" i="1"/>
  <c r="V17" i="1"/>
  <c r="Q17" i="1"/>
  <c r="M17" i="1"/>
  <c r="I17" i="1"/>
  <c r="F17" i="1"/>
  <c r="P17" i="1" s="1"/>
  <c r="R17" i="1" s="1"/>
  <c r="Z16" i="1"/>
  <c r="X16" i="1"/>
  <c r="W16" i="1"/>
  <c r="V16" i="1"/>
  <c r="Q16" i="1"/>
  <c r="P16" i="1"/>
  <c r="R16" i="1" s="1"/>
  <c r="M16" i="1"/>
  <c r="I16" i="1"/>
  <c r="F16" i="1"/>
  <c r="Z15" i="1"/>
  <c r="X15" i="1"/>
  <c r="W15" i="1"/>
  <c r="V15" i="1"/>
  <c r="Q15" i="1"/>
  <c r="M15" i="1"/>
  <c r="I15" i="1"/>
  <c r="F15" i="1"/>
  <c r="P15" i="1" s="1"/>
  <c r="R15" i="1" s="1"/>
  <c r="Z14" i="1"/>
  <c r="X14" i="1"/>
  <c r="W14" i="1"/>
  <c r="V14" i="1"/>
  <c r="Q14" i="1"/>
  <c r="M14" i="1"/>
  <c r="I14" i="1"/>
  <c r="P14" i="1" s="1"/>
  <c r="R14" i="1" s="1"/>
  <c r="F14" i="1"/>
  <c r="Z13" i="1"/>
  <c r="X13" i="1"/>
  <c r="W13" i="1"/>
  <c r="V13" i="1"/>
  <c r="Q13" i="1"/>
  <c r="M13" i="1"/>
  <c r="I13" i="1"/>
  <c r="F13" i="1"/>
  <c r="P13" i="1" s="1"/>
  <c r="R13" i="1" s="1"/>
  <c r="Z12" i="1"/>
  <c r="X12" i="1"/>
  <c r="W12" i="1"/>
  <c r="V12" i="1"/>
  <c r="Q12" i="1"/>
  <c r="P12" i="1"/>
  <c r="R12" i="1" s="1"/>
  <c r="M12" i="1"/>
  <c r="I12" i="1"/>
  <c r="F12" i="1"/>
  <c r="Z11" i="1"/>
  <c r="X11" i="1"/>
  <c r="W11" i="1"/>
  <c r="V11" i="1"/>
  <c r="Q11" i="1"/>
  <c r="M11" i="1"/>
  <c r="I11" i="1"/>
  <c r="F11" i="1"/>
  <c r="P11" i="1" s="1"/>
  <c r="R11" i="1" s="1"/>
  <c r="Z10" i="1"/>
  <c r="X10" i="1"/>
  <c r="W10" i="1"/>
  <c r="V10" i="1"/>
  <c r="Q10" i="1"/>
  <c r="M10" i="1"/>
  <c r="I10" i="1"/>
  <c r="P10" i="1" s="1"/>
  <c r="R10" i="1" s="1"/>
  <c r="F10" i="1"/>
  <c r="Z9" i="1"/>
  <c r="X9" i="1"/>
  <c r="W9" i="1"/>
  <c r="V9" i="1"/>
  <c r="Q9" i="1"/>
  <c r="M9" i="1"/>
  <c r="I9" i="1"/>
  <c r="F9" i="1"/>
  <c r="P9" i="1" s="1"/>
  <c r="R9" i="1" s="1"/>
  <c r="Z8" i="1"/>
  <c r="X8" i="1"/>
  <c r="W8" i="1"/>
  <c r="V8" i="1"/>
  <c r="Q8" i="1"/>
  <c r="P8" i="1"/>
  <c r="R8" i="1" s="1"/>
  <c r="M8" i="1"/>
  <c r="I8" i="1"/>
  <c r="F8" i="1"/>
  <c r="Z7" i="1"/>
  <c r="X7" i="1"/>
  <c r="W7" i="1"/>
  <c r="V7" i="1"/>
  <c r="Q7" i="1"/>
  <c r="M7" i="1"/>
  <c r="I7" i="1"/>
  <c r="F7" i="1"/>
  <c r="P7" i="1" s="1"/>
  <c r="R7" i="1" s="1"/>
  <c r="Z6" i="1"/>
  <c r="X6" i="1"/>
  <c r="W6" i="1"/>
  <c r="V6" i="1"/>
  <c r="Q6" i="1"/>
  <c r="M6" i="1"/>
  <c r="I6" i="1"/>
  <c r="P6" i="1" s="1"/>
  <c r="R6" i="1" s="1"/>
  <c r="Z5" i="1"/>
  <c r="X5" i="1"/>
  <c r="W5" i="1"/>
  <c r="V5" i="1"/>
  <c r="Q5" i="1"/>
  <c r="M5" i="1"/>
  <c r="I5" i="1"/>
  <c r="F5" i="1"/>
  <c r="P5" i="1" s="1"/>
  <c r="R5" i="1" s="1"/>
  <c r="Z4" i="1"/>
  <c r="X4" i="1"/>
  <c r="W4" i="1"/>
  <c r="V4" i="1"/>
  <c r="Q4" i="1"/>
  <c r="M4" i="1"/>
  <c r="I4" i="1"/>
  <c r="F4" i="1"/>
  <c r="P4" i="1" s="1"/>
  <c r="R4" i="1" s="1"/>
  <c r="Z3" i="1"/>
  <c r="X3" i="1"/>
  <c r="W3" i="1"/>
  <c r="V3" i="1"/>
  <c r="Q3" i="1"/>
  <c r="M3" i="1"/>
  <c r="I3" i="1"/>
  <c r="F3" i="1"/>
  <c r="P3" i="1" s="1"/>
  <c r="R3" i="1" s="1"/>
  <c r="U100" i="1" l="1"/>
  <c r="T100" i="1"/>
  <c r="U44" i="1"/>
  <c r="T44" i="1"/>
  <c r="U48" i="1"/>
  <c r="T48" i="1"/>
  <c r="U76" i="1"/>
  <c r="T76" i="1"/>
  <c r="U108" i="1"/>
  <c r="T108" i="1"/>
  <c r="U52" i="1"/>
  <c r="T52" i="1"/>
  <c r="U84" i="1"/>
  <c r="T84" i="1"/>
  <c r="U88" i="1"/>
  <c r="T88" i="1"/>
  <c r="U116" i="1"/>
  <c r="T116" i="1"/>
  <c r="U122" i="1"/>
  <c r="T122" i="1"/>
  <c r="U36" i="1"/>
  <c r="T36" i="1"/>
  <c r="U72" i="1"/>
  <c r="T72" i="1"/>
  <c r="U104" i="1"/>
  <c r="T104" i="1"/>
  <c r="U31" i="1"/>
  <c r="T31" i="1"/>
  <c r="U60" i="1"/>
  <c r="T60" i="1"/>
  <c r="U64" i="1"/>
  <c r="T64" i="1"/>
  <c r="U92" i="1"/>
  <c r="T92" i="1"/>
  <c r="R35" i="1"/>
  <c r="T40" i="1"/>
  <c r="R42" i="1"/>
  <c r="R51" i="1"/>
  <c r="T56" i="1"/>
  <c r="R58" i="1"/>
  <c r="T58" i="1" s="1"/>
  <c r="P65" i="1"/>
  <c r="R65" i="1" s="1"/>
  <c r="P66" i="1"/>
  <c r="R66" i="1" s="1"/>
  <c r="P67" i="1"/>
  <c r="R67" i="1" s="1"/>
  <c r="P68" i="1"/>
  <c r="R68" i="1" s="1"/>
  <c r="U68" i="1" s="1"/>
  <c r="P69" i="1"/>
  <c r="R69" i="1" s="1"/>
  <c r="P70" i="1"/>
  <c r="R70" i="1" s="1"/>
  <c r="R75" i="1"/>
  <c r="T80" i="1"/>
  <c r="R82" i="1"/>
  <c r="R91" i="1"/>
  <c r="T96" i="1"/>
  <c r="R98" i="1"/>
  <c r="T98" i="1" s="1"/>
  <c r="R107" i="1"/>
  <c r="T112" i="1"/>
  <c r="R114" i="1"/>
  <c r="R117" i="1"/>
  <c r="U117" i="1" s="1"/>
  <c r="R118" i="1"/>
  <c r="R34" i="1"/>
  <c r="R43" i="1"/>
  <c r="R50" i="1"/>
  <c r="T50" i="1" s="1"/>
  <c r="R59" i="1"/>
  <c r="T59" i="1" s="1"/>
  <c r="R74" i="1"/>
  <c r="R83" i="1"/>
  <c r="R90" i="1"/>
  <c r="T90" i="1" s="1"/>
  <c r="R99" i="1"/>
  <c r="T99" i="1" s="1"/>
  <c r="R106" i="1"/>
  <c r="R115" i="1"/>
  <c r="P124" i="1"/>
  <c r="R124" i="1" s="1"/>
  <c r="T124" i="1" s="1"/>
  <c r="P125" i="1"/>
  <c r="R125" i="1" s="1"/>
  <c r="U125" i="1" s="1"/>
  <c r="P126" i="1"/>
  <c r="R126" i="1" s="1"/>
  <c r="P127" i="1"/>
  <c r="R127" i="1" s="1"/>
  <c r="P128" i="1"/>
  <c r="R128" i="1" s="1"/>
  <c r="T128" i="1" s="1"/>
  <c r="P129" i="1"/>
  <c r="R129" i="1" s="1"/>
  <c r="P130" i="1"/>
  <c r="R130" i="1" s="1"/>
  <c r="P131" i="1"/>
  <c r="R131" i="1" s="1"/>
  <c r="P132" i="1"/>
  <c r="R132" i="1" s="1"/>
  <c r="T132" i="1" s="1"/>
  <c r="P133" i="1"/>
  <c r="R133" i="1" s="1"/>
  <c r="U133" i="1" s="1"/>
  <c r="P134" i="1"/>
  <c r="R134" i="1" s="1"/>
  <c r="P135" i="1"/>
  <c r="R135" i="1" s="1"/>
  <c r="I149" i="1"/>
  <c r="J149" i="1" s="1"/>
  <c r="T19" i="1"/>
  <c r="U19" i="1"/>
  <c r="T34" i="1"/>
  <c r="U34" i="1"/>
  <c r="U43" i="1"/>
  <c r="T43" i="1"/>
  <c r="U50" i="1"/>
  <c r="U59" i="1"/>
  <c r="U99" i="1"/>
  <c r="T125" i="1"/>
  <c r="U128" i="1"/>
  <c r="T133" i="1"/>
  <c r="U6" i="1"/>
  <c r="T6" i="1"/>
  <c r="U14" i="1"/>
  <c r="T14" i="1"/>
  <c r="U18" i="1"/>
  <c r="T18" i="1"/>
  <c r="T26" i="1"/>
  <c r="U26" i="1"/>
  <c r="U3" i="1"/>
  <c r="T3" i="1"/>
  <c r="U4" i="1"/>
  <c r="T4" i="1"/>
  <c r="U5" i="1"/>
  <c r="T5" i="1"/>
  <c r="T8" i="1"/>
  <c r="U8" i="1"/>
  <c r="T12" i="1"/>
  <c r="U12" i="1"/>
  <c r="T16" i="1"/>
  <c r="U16" i="1"/>
  <c r="U20" i="1"/>
  <c r="T20" i="1"/>
  <c r="U24" i="1"/>
  <c r="T24" i="1"/>
  <c r="T28" i="1"/>
  <c r="U28" i="1"/>
  <c r="U32" i="1"/>
  <c r="T32" i="1"/>
  <c r="T39" i="1"/>
  <c r="U39" i="1"/>
  <c r="T46" i="1"/>
  <c r="U46" i="1"/>
  <c r="T55" i="1"/>
  <c r="U55" i="1"/>
  <c r="T62" i="1"/>
  <c r="U62" i="1"/>
  <c r="T79" i="1"/>
  <c r="U79" i="1"/>
  <c r="T86" i="1"/>
  <c r="U86" i="1"/>
  <c r="U95" i="1"/>
  <c r="T95" i="1"/>
  <c r="T102" i="1"/>
  <c r="U102" i="1"/>
  <c r="U111" i="1"/>
  <c r="T111" i="1"/>
  <c r="T120" i="1"/>
  <c r="U120" i="1"/>
  <c r="T136" i="1"/>
  <c r="U136" i="1"/>
  <c r="T137" i="1"/>
  <c r="U137" i="1"/>
  <c r="U7" i="1"/>
  <c r="T7" i="1"/>
  <c r="T27" i="1"/>
  <c r="U27" i="1"/>
  <c r="T126" i="1"/>
  <c r="U126" i="1"/>
  <c r="T130" i="1"/>
  <c r="U130" i="1"/>
  <c r="T131" i="1"/>
  <c r="U131" i="1"/>
  <c r="T134" i="1"/>
  <c r="U134" i="1"/>
  <c r="U30" i="1"/>
  <c r="T30" i="1"/>
  <c r="U63" i="1"/>
  <c r="T63" i="1"/>
  <c r="U71" i="1"/>
  <c r="T71" i="1"/>
  <c r="T78" i="1"/>
  <c r="U78" i="1"/>
  <c r="U87" i="1"/>
  <c r="T87" i="1"/>
  <c r="T94" i="1"/>
  <c r="U94" i="1"/>
  <c r="T103" i="1"/>
  <c r="U103" i="1"/>
  <c r="T110" i="1"/>
  <c r="U110" i="1"/>
  <c r="T117" i="1"/>
  <c r="U118" i="1"/>
  <c r="T118" i="1"/>
  <c r="T121" i="1"/>
  <c r="U121" i="1"/>
  <c r="T11" i="1"/>
  <c r="U11" i="1"/>
  <c r="T15" i="1"/>
  <c r="U15" i="1"/>
  <c r="U23" i="1"/>
  <c r="T23" i="1"/>
  <c r="T74" i="1"/>
  <c r="U74" i="1"/>
  <c r="U83" i="1"/>
  <c r="T83" i="1"/>
  <c r="U90" i="1"/>
  <c r="T106" i="1"/>
  <c r="U106" i="1"/>
  <c r="U115" i="1"/>
  <c r="T115" i="1"/>
  <c r="T127" i="1"/>
  <c r="U127" i="1"/>
  <c r="T129" i="1"/>
  <c r="U129" i="1"/>
  <c r="U132" i="1"/>
  <c r="T135" i="1"/>
  <c r="U135" i="1"/>
  <c r="U10" i="1"/>
  <c r="T10" i="1"/>
  <c r="T22" i="1"/>
  <c r="U22" i="1"/>
  <c r="T38" i="1"/>
  <c r="U38" i="1"/>
  <c r="U47" i="1"/>
  <c r="T47" i="1"/>
  <c r="T54" i="1"/>
  <c r="U54" i="1"/>
  <c r="T9" i="1"/>
  <c r="U9" i="1"/>
  <c r="T13" i="1"/>
  <c r="U13" i="1"/>
  <c r="T17" i="1"/>
  <c r="U17" i="1"/>
  <c r="U21" i="1"/>
  <c r="T21" i="1"/>
  <c r="T25" i="1"/>
  <c r="U25" i="1"/>
  <c r="U29" i="1"/>
  <c r="T29" i="1"/>
  <c r="T35" i="1"/>
  <c r="U35" i="1"/>
  <c r="T42" i="1"/>
  <c r="U42" i="1"/>
  <c r="T51" i="1"/>
  <c r="U51" i="1"/>
  <c r="U58" i="1"/>
  <c r="U65" i="1"/>
  <c r="T65" i="1"/>
  <c r="U66" i="1"/>
  <c r="T66" i="1"/>
  <c r="U67" i="1"/>
  <c r="T67" i="1"/>
  <c r="T68" i="1"/>
  <c r="U69" i="1"/>
  <c r="T69" i="1"/>
  <c r="U70" i="1"/>
  <c r="T70" i="1"/>
  <c r="U75" i="1"/>
  <c r="T75" i="1"/>
  <c r="T82" i="1"/>
  <c r="U82" i="1"/>
  <c r="T91" i="1"/>
  <c r="U91" i="1"/>
  <c r="U98" i="1"/>
  <c r="U107" i="1"/>
  <c r="T107" i="1"/>
  <c r="T114" i="1"/>
  <c r="U114" i="1"/>
  <c r="U33" i="1"/>
  <c r="U37" i="1"/>
  <c r="U41" i="1"/>
  <c r="U45" i="1"/>
  <c r="U49" i="1"/>
  <c r="U53" i="1"/>
  <c r="U57" i="1"/>
  <c r="U61" i="1"/>
  <c r="U73" i="1"/>
  <c r="U77" i="1"/>
  <c r="U81" i="1"/>
  <c r="U85" i="1"/>
  <c r="U89" i="1"/>
  <c r="U93" i="1"/>
  <c r="U97" i="1"/>
  <c r="U101" i="1"/>
  <c r="U105" i="1"/>
  <c r="U109" i="1"/>
  <c r="U113" i="1"/>
  <c r="U119" i="1"/>
  <c r="U123" i="1"/>
  <c r="U124" i="1" l="1"/>
</calcChain>
</file>

<file path=xl/comments1.xml><?xml version="1.0" encoding="utf-8"?>
<comments xmlns="http://schemas.openxmlformats.org/spreadsheetml/2006/main">
  <authors>
    <author>Aaron Ziska</author>
  </authors>
  <commentList>
    <comment ref="S2" authorId="0" shapeId="0">
      <text>
        <r>
          <rPr>
            <b/>
            <sz val="9"/>
            <color indexed="81"/>
            <rFont val="Tahoma"/>
            <family val="2"/>
          </rPr>
          <t>Aaron Ziska:</t>
        </r>
        <r>
          <rPr>
            <sz val="9"/>
            <color indexed="81"/>
            <rFont val="Tahoma"/>
            <family val="2"/>
          </rPr>
          <t xml:space="preserve">
Found in NCQA: The State of Health_Care_Quality_2015 (Final Edition)</t>
        </r>
      </text>
    </comment>
    <comment ref="T2" authorId="0" shapeId="0">
      <text>
        <r>
          <rPr>
            <b/>
            <sz val="9"/>
            <color indexed="81"/>
            <rFont val="Tahoma"/>
            <family val="2"/>
          </rPr>
          <t>Aaron Ziska:</t>
        </r>
        <r>
          <rPr>
            <sz val="9"/>
            <color indexed="81"/>
            <rFont val="Tahoma"/>
            <family val="2"/>
          </rPr>
          <t xml:space="preserve">
Positive means Nat'l is higher than Neb, Negative is vise versa
Red: Greater than 5% lower than Nat'l
Green: Better than Nat'l by at least 3%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</rPr>
          <t>Aaron Ziska:</t>
        </r>
        <r>
          <rPr>
            <sz val="9"/>
            <color indexed="81"/>
            <rFont val="Tahoma"/>
            <family val="2"/>
          </rPr>
          <t xml:space="preserve">
There is a known discrepency between what D&amp;A finds and UHC has self reported.  This difference was never reconciled.</t>
        </r>
      </text>
    </comment>
  </commentList>
</comments>
</file>

<file path=xl/comments2.xml><?xml version="1.0" encoding="utf-8"?>
<comments xmlns="http://schemas.openxmlformats.org/spreadsheetml/2006/main">
  <authors>
    <author>Aaron Ziska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Aaron Ziska:</t>
        </r>
        <r>
          <rPr>
            <sz val="9"/>
            <color indexed="81"/>
            <rFont val="Tahoma"/>
            <family val="2"/>
          </rPr>
          <t xml:space="preserve">
Found in NCQA: The State of Health_Care_Quality_2015 (Final Edition)</t>
        </r>
      </text>
    </comment>
  </commentList>
</comments>
</file>

<file path=xl/sharedStrings.xml><?xml version="1.0" encoding="utf-8"?>
<sst xmlns="http://schemas.openxmlformats.org/spreadsheetml/2006/main" count="1256" uniqueCount="248">
  <si>
    <t>Color Legend</t>
  </si>
  <si>
    <t>Pink: "No"</t>
  </si>
  <si>
    <t>Green: "Yes"</t>
  </si>
  <si>
    <t>Grey: "Don't need to review/Can't use"</t>
  </si>
  <si>
    <t>Yellow: Read Comments on data</t>
  </si>
  <si>
    <t>Red: MCO Failed to report or Denominator is too small</t>
  </si>
  <si>
    <t>Title</t>
  </si>
  <si>
    <t>Measure Accronym</t>
  </si>
  <si>
    <t>Group</t>
  </si>
  <si>
    <t>Short Group Title</t>
  </si>
  <si>
    <t>Method</t>
  </si>
  <si>
    <t>United Num</t>
  </si>
  <si>
    <t>United Denom</t>
  </si>
  <si>
    <t>UHC Rate 2014</t>
  </si>
  <si>
    <t>Aetna Num</t>
  </si>
  <si>
    <t>Aetna Denom</t>
  </si>
  <si>
    <t>UHC Rate 2015</t>
  </si>
  <si>
    <t>Aetna Rate</t>
  </si>
  <si>
    <t>Arbor Num</t>
  </si>
  <si>
    <t>Arbor Denom</t>
  </si>
  <si>
    <t>Arbor Rate</t>
  </si>
  <si>
    <t>Combined Num</t>
  </si>
  <si>
    <t>Combined Denom</t>
  </si>
  <si>
    <t>Combined MCO Rate</t>
  </si>
  <si>
    <t>National Rate (2014 Medicaid HMO)</t>
  </si>
  <si>
    <t>Difference Between Nat'l and Neb</t>
  </si>
  <si>
    <t>Is Neb better than Nat'l?</t>
  </si>
  <si>
    <t>Is United better than Nat'l?</t>
  </si>
  <si>
    <t>Is Aetna better than Nat'l</t>
  </si>
  <si>
    <t>Is Arbor better than Nat'l</t>
  </si>
  <si>
    <t>How has UHC changed 14 to 15?</t>
  </si>
  <si>
    <t>Adult BMI Assessment</t>
  </si>
  <si>
    <t>ABA</t>
  </si>
  <si>
    <t>Effectiveness of Care: Prevention and Screening</t>
  </si>
  <si>
    <t>P&amp;S</t>
  </si>
  <si>
    <t>H</t>
  </si>
  <si>
    <t>Weight Assessment and Counseling for Nutrition and Physical Activifty for Children/Adolescents</t>
  </si>
  <si>
    <t>WCC - BMI</t>
  </si>
  <si>
    <t>WCC - Nutrition</t>
  </si>
  <si>
    <t>WCC - Physical Activity</t>
  </si>
  <si>
    <t>Childhood Immunization Status</t>
  </si>
  <si>
    <t>CIS - DTaP</t>
  </si>
  <si>
    <t>CIS - IPV</t>
  </si>
  <si>
    <t>CIS - MMR</t>
  </si>
  <si>
    <t>CIS - HiB</t>
  </si>
  <si>
    <t>CIS - Hep B</t>
  </si>
  <si>
    <t>CIS - VZV</t>
  </si>
  <si>
    <t>CIS - PC</t>
  </si>
  <si>
    <t>CIS - Hep A</t>
  </si>
  <si>
    <t>CIS - RV</t>
  </si>
  <si>
    <t>CIS - Flu</t>
  </si>
  <si>
    <t>CIS - Combo 2</t>
  </si>
  <si>
    <t>CIS - Combo 3</t>
  </si>
  <si>
    <t>CIS - Combo 4</t>
  </si>
  <si>
    <t>-</t>
  </si>
  <si>
    <t>CIS - Combo 5</t>
  </si>
  <si>
    <t>CIS - Combo 6</t>
  </si>
  <si>
    <t>CIS - Combo 7</t>
  </si>
  <si>
    <t>CIS - Combo 8</t>
  </si>
  <si>
    <t>CIS - Combo 9</t>
  </si>
  <si>
    <t>CIS - Combo 10</t>
  </si>
  <si>
    <t>Immunizations for Adolescents</t>
  </si>
  <si>
    <t>IMA - Meningococcal</t>
  </si>
  <si>
    <t>IMA - Tdap/Td</t>
  </si>
  <si>
    <t>IMA - Combo 1</t>
  </si>
  <si>
    <t>Human Papillomavirus Vaccine for Female Adolescents</t>
  </si>
  <si>
    <t>HPV</t>
  </si>
  <si>
    <t>Lead Screening in Children</t>
  </si>
  <si>
    <t>LSC</t>
  </si>
  <si>
    <t>Breast Cancer Screening</t>
  </si>
  <si>
    <t>BCS</t>
  </si>
  <si>
    <t>A</t>
  </si>
  <si>
    <t>Cervical Cancer Screening</t>
  </si>
  <si>
    <t>CCS</t>
  </si>
  <si>
    <t xml:space="preserve">Non-Recommended Cervical Cancer Screening in Adolescent Females </t>
  </si>
  <si>
    <t>NCS</t>
  </si>
  <si>
    <t>Chlamydia Screening in Women</t>
  </si>
  <si>
    <t>CHL - 16 to 20</t>
  </si>
  <si>
    <t>CHL - 21 to 24</t>
  </si>
  <si>
    <t>CHL - Total</t>
  </si>
  <si>
    <t>Appropriate testing for Children with Pharyngitis</t>
  </si>
  <si>
    <t>CWP</t>
  </si>
  <si>
    <t>Effectiveness of Care: Respiratory Conditions</t>
  </si>
  <si>
    <t>Resp. Cond.</t>
  </si>
  <si>
    <t>NA</t>
  </si>
  <si>
    <t>Appropriate Treatment for Children With URI</t>
  </si>
  <si>
    <t>URI</t>
  </si>
  <si>
    <t>Avoidance of Antibiotic Treatment in Adults with Acute</t>
  </si>
  <si>
    <t>AAB</t>
  </si>
  <si>
    <t>Use of Spirometry Testing in the Assessment and Diagnosis of COPD</t>
  </si>
  <si>
    <t>SPR</t>
  </si>
  <si>
    <t>Pharmacotherapy Management of COPD Exacerbation</t>
  </si>
  <si>
    <t>PCE - Systemic Corticosteroid</t>
  </si>
  <si>
    <t>PCE - Bronchodilator</t>
  </si>
  <si>
    <t>Use of Appropriate Medications for People With Asthma</t>
  </si>
  <si>
    <t>ASM - 5 to 11</t>
  </si>
  <si>
    <t>ASM - 12 to 18</t>
  </si>
  <si>
    <t>ASM - 19 to 50</t>
  </si>
  <si>
    <t>ASM - 51 to 64</t>
  </si>
  <si>
    <t>ASM - Total</t>
  </si>
  <si>
    <t>Medication Management for People With Asthma</t>
  </si>
  <si>
    <t>MMA - 5 to 11 - 50</t>
  </si>
  <si>
    <t>MMA - 5 to 11 - 75</t>
  </si>
  <si>
    <t>MMA - 12 to 18 - 50</t>
  </si>
  <si>
    <t>MMA - 12 to 18 - 75</t>
  </si>
  <si>
    <t>MMA - 19 to 50 - 50</t>
  </si>
  <si>
    <t>MMA - 19 to 50 - 75</t>
  </si>
  <si>
    <t>MMA - 51 to 64 - 50</t>
  </si>
  <si>
    <t>MMA - 51 to 64 - 75</t>
  </si>
  <si>
    <t>MMA - Total - 50</t>
  </si>
  <si>
    <t>MMA - Total - 75</t>
  </si>
  <si>
    <t>Asthma Medication Ratio</t>
  </si>
  <si>
    <t>AMR - 5 to 11</t>
  </si>
  <si>
    <t>AMR - 12 to 18</t>
  </si>
  <si>
    <t>AMR - 19 to 50</t>
  </si>
  <si>
    <t>AMR - 51 to 64</t>
  </si>
  <si>
    <t>AMR - Total</t>
  </si>
  <si>
    <t>Controlling High Blood Pressure</t>
  </si>
  <si>
    <t>CBP</t>
  </si>
  <si>
    <t>Effectiveness of Care: Cardiovascular Conditions</t>
  </si>
  <si>
    <t>Cardio. Cond.</t>
  </si>
  <si>
    <t>Persistence of Beta-Blocker Treatment After a Heart Attack</t>
  </si>
  <si>
    <t>PBH</t>
  </si>
  <si>
    <t>Comprehensive Diabetes Care</t>
  </si>
  <si>
    <t>CDC - HbA1c Testing</t>
  </si>
  <si>
    <t>Effectiveness of Care: Diabetes</t>
  </si>
  <si>
    <t>Diabetes</t>
  </si>
  <si>
    <t>CDC - HbA1c (&gt;9%)</t>
  </si>
  <si>
    <t>CDC - HbA1c (&lt;8%)</t>
  </si>
  <si>
    <t>CDC - HbA1c (&lt;7%)</t>
  </si>
  <si>
    <t>CDC - Eye Exam</t>
  </si>
  <si>
    <t>CDC - Medical Attention for Nephropathy</t>
  </si>
  <si>
    <t>CDC - Blood Pressure (&lt;140/90 mm Hg)</t>
  </si>
  <si>
    <t>Disease Modifyin gAnti-Rheumatatic Drug Therapy in Rheumatoid Arthritis</t>
  </si>
  <si>
    <t>ART</t>
  </si>
  <si>
    <t>Effectiveness of Care: Musculoskeletal</t>
  </si>
  <si>
    <t>Musculoskel.</t>
  </si>
  <si>
    <t>Use of Imaging Studies for Low Back Pain</t>
  </si>
  <si>
    <t>LBP</t>
  </si>
  <si>
    <t>Antidepressant Medication Management</t>
  </si>
  <si>
    <t>AMM - Effect Acute Phase</t>
  </si>
  <si>
    <t>Effectiveness of Care: Behavioral Health</t>
  </si>
  <si>
    <t>BH</t>
  </si>
  <si>
    <t>AMM - Effective Continuation Phrase</t>
  </si>
  <si>
    <t>Follow-Up Care for Children Prescribed ADHD Medication</t>
  </si>
  <si>
    <t>ADD - Initiation Phase</t>
  </si>
  <si>
    <t>ADD - Continuation and Maintenance Phase</t>
  </si>
  <si>
    <t>Follow-Up After Hospitalization for Mental Illness</t>
  </si>
  <si>
    <t>FUH - 30 Day Follow-up</t>
  </si>
  <si>
    <t>FUH - 7 Day Follow-up</t>
  </si>
  <si>
    <t>Diabetes Screening for People with Schizophrenia or Bipolar Disorder who are Using Antipsychotic Medication</t>
  </si>
  <si>
    <t>SSD</t>
  </si>
  <si>
    <t>Diabetes Monitoring for People with Diabetes and Schizophrenia</t>
  </si>
  <si>
    <t>SMD</t>
  </si>
  <si>
    <t>Cardiovascular Monitoring for People with Cardiovascular Disease and Schizophrenia</t>
  </si>
  <si>
    <t>SMC</t>
  </si>
  <si>
    <t>Adherance to Antipsychotic Medications for Individuals with Schizophrenia</t>
  </si>
  <si>
    <t>SAA</t>
  </si>
  <si>
    <t>Use of Multiple Concurrent Antipsychotics in Children and Adolescents</t>
  </si>
  <si>
    <t>APC - 1 to 5</t>
  </si>
  <si>
    <t>APC - 6 to 11</t>
  </si>
  <si>
    <t>APC - 12 to 17</t>
  </si>
  <si>
    <t>APC - Total</t>
  </si>
  <si>
    <t>Metabolic Monitoring for Children and Adolescents on Antipsychotics</t>
  </si>
  <si>
    <t>APM - 1 to 5</t>
  </si>
  <si>
    <t>APM - 6 to 11</t>
  </si>
  <si>
    <t>APM - 12 to 17</t>
  </si>
  <si>
    <t>APM - Total</t>
  </si>
  <si>
    <t>Annual Monitoring for Patients on Persistent Medications</t>
  </si>
  <si>
    <t>MPM - ACE Inhibitors or ARBs</t>
  </si>
  <si>
    <t>Effectiveness of Care: Medication Management</t>
  </si>
  <si>
    <t>Med. Mngt.</t>
  </si>
  <si>
    <t>MPM - Digoxin</t>
  </si>
  <si>
    <t>MPM - Diuretics</t>
  </si>
  <si>
    <t>MPM - Total</t>
  </si>
  <si>
    <t>Adults' Access to Preventive/Ambulatory Health Services</t>
  </si>
  <si>
    <t>AAP - 20 to 44</t>
  </si>
  <si>
    <t>Access/Availability of Care</t>
  </si>
  <si>
    <t>Access</t>
  </si>
  <si>
    <t>AAP - 45 to 64</t>
  </si>
  <si>
    <t>AAP - 65 Over</t>
  </si>
  <si>
    <t>AAP - Total</t>
  </si>
  <si>
    <t>Children and Adolescents' Access to Primary Care Practitioners</t>
  </si>
  <si>
    <t>CAP - 12 to 24 Months</t>
  </si>
  <si>
    <t>CAP - 25 Months to 6 Years</t>
  </si>
  <si>
    <t>CAP - 7 to 11</t>
  </si>
  <si>
    <t>CAP - 12 to 19</t>
  </si>
  <si>
    <t>Annual Dental Visit</t>
  </si>
  <si>
    <t>ADV - 2 to 3</t>
  </si>
  <si>
    <t>ADV - 4 to 6</t>
  </si>
  <si>
    <t>ADV - 7 to 10</t>
  </si>
  <si>
    <t>ADV - 11 to 14</t>
  </si>
  <si>
    <t>ADV - 15 to 18</t>
  </si>
  <si>
    <t>ADV - 19 to 21</t>
  </si>
  <si>
    <t>ADV - Total</t>
  </si>
  <si>
    <t>Initiation and Engagement of AOD Dependence Treatment</t>
  </si>
  <si>
    <t>IET - Initiation 13 to 17</t>
  </si>
  <si>
    <t>IET - Engagement 13 to 17</t>
  </si>
  <si>
    <t>IET - Initiation 18 Over</t>
  </si>
  <si>
    <t>IET - Engagement 18 Over</t>
  </si>
  <si>
    <t>IET - Initiation Total</t>
  </si>
  <si>
    <t>IET - Engagement Total</t>
  </si>
  <si>
    <t>Prenatal and Postpartum Care</t>
  </si>
  <si>
    <t>PPC - Timeliness of Prenatal Care</t>
  </si>
  <si>
    <t>PPC - Postpartum Care</t>
  </si>
  <si>
    <t>Call Answer Timeliness</t>
  </si>
  <si>
    <t>CAT</t>
  </si>
  <si>
    <t>Use of First-Line Psychosocial Care for Children and Adolescents on Antipsychotics</t>
  </si>
  <si>
    <t>APP - 1 to 5</t>
  </si>
  <si>
    <t>APP - 6 to 11</t>
  </si>
  <si>
    <t>APP - 12 to 17</t>
  </si>
  <si>
    <t>APP - Total</t>
  </si>
  <si>
    <t>Frequency of Ongoing Prenatal Care</t>
  </si>
  <si>
    <t>FPC - &lt;21%</t>
  </si>
  <si>
    <t>Utilization</t>
  </si>
  <si>
    <t>Util</t>
  </si>
  <si>
    <t>FPC - 21 to 40%</t>
  </si>
  <si>
    <t>FPC - 41 to 60%</t>
  </si>
  <si>
    <t>FPC - 61 to 80%</t>
  </si>
  <si>
    <t>FPC - 81% Over</t>
  </si>
  <si>
    <t>Well-Child Visits in the First 15 Months of Life</t>
  </si>
  <si>
    <t>W15 - 0</t>
  </si>
  <si>
    <t>W15 - 1</t>
  </si>
  <si>
    <t>W15 - 2</t>
  </si>
  <si>
    <t>W15 - 3</t>
  </si>
  <si>
    <t>W15 - 4</t>
  </si>
  <si>
    <t>W15 - 5</t>
  </si>
  <si>
    <t>W15 - 6 Over</t>
  </si>
  <si>
    <t>Well-Child Visits in the Third, Fourth, Fifth, and Sixth Years of Life</t>
  </si>
  <si>
    <t>W34</t>
  </si>
  <si>
    <t>Adolescent Well-Care Visits</t>
  </si>
  <si>
    <t>AWC</t>
  </si>
  <si>
    <t>Frequency of Selected Procedures</t>
  </si>
  <si>
    <t>FSP</t>
  </si>
  <si>
    <t>Separate</t>
  </si>
  <si>
    <t>Ambulatory Care</t>
  </si>
  <si>
    <t>AMBA</t>
  </si>
  <si>
    <t>Inpatient Utilization</t>
  </si>
  <si>
    <t>IPUA</t>
  </si>
  <si>
    <t>Antibiotic Utilization</t>
  </si>
  <si>
    <t>ABXA</t>
  </si>
  <si>
    <t>Measure Title</t>
  </si>
  <si>
    <t>Measure Accronym and Subcategory</t>
  </si>
  <si>
    <t>Nebraska Managed Care Rate (2014)</t>
  </si>
  <si>
    <t>Notes:</t>
  </si>
  <si>
    <t>Nebraska Managed Care rates are combined MCO rates, those missing values are rates in which not all MCOs reported a usable rate.</t>
  </si>
  <si>
    <t xml:space="preserve">Not all national rates are reported.  More information can be found at www.NCQA.org </t>
  </si>
  <si>
    <t>Full HEDIS specifications are purchaced via store.ncqa.org, Volume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</si>
</sst>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3" fillId="3" borderId="0" xfId="3" applyAlignment="1">
      <alignment wrapText="1"/>
    </xf>
    <xf numFmtId="0" fontId="0" fillId="0" borderId="0" xfId="0" applyFill="1"/>
    <xf numFmtId="0" fontId="2" fillId="2" borderId="0" xfId="2" applyAlignment="1">
      <alignment wrapText="1"/>
    </xf>
    <xf numFmtId="0" fontId="4" fillId="4" borderId="1" xfId="4" applyAlignment="1">
      <alignment wrapText="1"/>
    </xf>
    <xf numFmtId="0" fontId="6" fillId="0" borderId="0" xfId="0" applyFont="1" applyAlignment="1">
      <alignment wrapText="1"/>
    </xf>
    <xf numFmtId="0" fontId="6" fillId="5" borderId="0" xfId="0" applyFont="1" applyFill="1" applyAlignment="1">
      <alignment wrapText="1"/>
    </xf>
    <xf numFmtId="0" fontId="6" fillId="6" borderId="0" xfId="0" applyFont="1" applyFill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5" borderId="0" xfId="0" applyFill="1"/>
    <xf numFmtId="164" fontId="0" fillId="0" borderId="0" xfId="0" applyNumberFormat="1" applyFill="1"/>
    <xf numFmtId="2" fontId="0" fillId="0" borderId="0" xfId="0" applyNumberFormat="1"/>
    <xf numFmtId="0" fontId="3" fillId="3" borderId="0" xfId="3" applyBorder="1"/>
    <xf numFmtId="0" fontId="2" fillId="2" borderId="0" xfId="2"/>
    <xf numFmtId="0" fontId="3" fillId="3" borderId="0" xfId="3"/>
    <xf numFmtId="164" fontId="0" fillId="0" borderId="0" xfId="0" applyNumberFormat="1"/>
    <xf numFmtId="0" fontId="2" fillId="2" borderId="0" xfId="2" applyBorder="1"/>
    <xf numFmtId="0" fontId="7" fillId="7" borderId="0" xfId="0" applyFont="1" applyFill="1"/>
    <xf numFmtId="0" fontId="0" fillId="6" borderId="0" xfId="0" applyFill="1"/>
    <xf numFmtId="2" fontId="0" fillId="6" borderId="0" xfId="0" applyNumberFormat="1" applyFill="1"/>
    <xf numFmtId="0" fontId="4" fillId="4" borderId="1" xfId="4" applyBorder="1"/>
    <xf numFmtId="0" fontId="4" fillId="4" borderId="1" xfId="4"/>
    <xf numFmtId="0" fontId="0" fillId="7" borderId="0" xfId="0" applyFill="1"/>
    <xf numFmtId="2" fontId="0" fillId="7" borderId="0" xfId="0" applyNumberFormat="1" applyFill="1"/>
    <xf numFmtId="0" fontId="0" fillId="0" borderId="0" xfId="0" applyFill="1" applyAlignment="1">
      <alignment wrapText="1"/>
    </xf>
    <xf numFmtId="0" fontId="0" fillId="0" borderId="2" xfId="0" applyFill="1" applyBorder="1"/>
    <xf numFmtId="10" fontId="0" fillId="0" borderId="2" xfId="1" applyNumberFormat="1" applyFont="1" applyFill="1" applyBorder="1"/>
    <xf numFmtId="0" fontId="0" fillId="0" borderId="0" xfId="0" applyFill="1" applyBorder="1"/>
    <xf numFmtId="10" fontId="0" fillId="0" borderId="0" xfId="1" applyNumberFormat="1" applyFont="1" applyFill="1" applyBorder="1"/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4" xfId="0" applyFill="1" applyBorder="1"/>
    <xf numFmtId="10" fontId="0" fillId="0" borderId="4" xfId="1" applyNumberFormat="1" applyFont="1" applyFill="1" applyBorder="1"/>
    <xf numFmtId="10" fontId="0" fillId="0" borderId="5" xfId="1" applyNumberFormat="1" applyFont="1" applyFill="1" applyBorder="1"/>
    <xf numFmtId="0" fontId="0" fillId="0" borderId="6" xfId="0" applyFill="1" applyBorder="1"/>
    <xf numFmtId="10" fontId="0" fillId="0" borderId="6" xfId="1" applyNumberFormat="1" applyFont="1" applyFill="1" applyBorder="1"/>
    <xf numFmtId="10" fontId="0" fillId="0" borderId="7" xfId="1" applyNumberFormat="1" applyFont="1" applyFill="1" applyBorder="1"/>
    <xf numFmtId="10" fontId="0" fillId="0" borderId="8" xfId="1" applyNumberFormat="1" applyFont="1" applyFill="1" applyBorder="1"/>
    <xf numFmtId="10" fontId="0" fillId="0" borderId="9" xfId="1" applyNumberFormat="1" applyFont="1" applyFill="1" applyBorder="1"/>
    <xf numFmtId="0" fontId="7" fillId="0" borderId="4" xfId="0" applyFont="1" applyFill="1" applyBorder="1"/>
    <xf numFmtId="0" fontId="7" fillId="0" borderId="6" xfId="0" applyFont="1" applyFill="1" applyBorder="1"/>
    <xf numFmtId="0" fontId="7" fillId="0" borderId="2" xfId="0" applyFont="1" applyFill="1" applyBorder="1"/>
    <xf numFmtId="0" fontId="7" fillId="0" borderId="0" xfId="0" applyFont="1" applyFill="1" applyBorder="1"/>
    <xf numFmtId="10" fontId="0" fillId="0" borderId="8" xfId="1" applyNumberFormat="1" applyFont="1" applyFill="1" applyBorder="1" applyAlignment="1">
      <alignment horizontal="center"/>
    </xf>
    <xf numFmtId="10" fontId="0" fillId="0" borderId="4" xfId="1" applyNumberFormat="1" applyFont="1" applyFill="1" applyBorder="1" applyAlignment="1">
      <alignment horizontal="center"/>
    </xf>
    <xf numFmtId="10" fontId="0" fillId="0" borderId="6" xfId="1" applyNumberFormat="1" applyFont="1" applyFill="1" applyBorder="1" applyAlignment="1">
      <alignment horizontal="center"/>
    </xf>
    <xf numFmtId="10" fontId="0" fillId="0" borderId="2" xfId="1" applyNumberFormat="1" applyFont="1" applyFill="1" applyBorder="1" applyAlignment="1">
      <alignment horizontal="center"/>
    </xf>
    <xf numFmtId="10" fontId="0" fillId="0" borderId="7" xfId="1" applyNumberFormat="1" applyFont="1" applyFill="1" applyBorder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10" fontId="0" fillId="0" borderId="9" xfId="1" applyNumberFormat="1" applyFont="1" applyFill="1" applyBorder="1" applyAlignment="1">
      <alignment horizontal="center"/>
    </xf>
    <xf numFmtId="10" fontId="0" fillId="0" borderId="5" xfId="1" applyNumberFormat="1" applyFont="1" applyFill="1" applyBorder="1" applyAlignment="1">
      <alignment horizontal="center"/>
    </xf>
    <xf numFmtId="0" fontId="0" fillId="0" borderId="10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5" fillId="0" borderId="0" xfId="0" applyFont="1" applyFill="1" applyAlignment="1">
      <alignment wrapText="1"/>
    </xf>
  </cellXfs>
  <cellStyles count="6">
    <cellStyle name="Bad" xfId="3" builtinId="27"/>
    <cellStyle name="Check Cell" xfId="4" builtinId="23"/>
    <cellStyle name="Good" xfId="2" builtinId="26"/>
    <cellStyle name="Normal" xfId="0" builtinId="0"/>
    <cellStyle name="Normal 2" xfId="5"/>
    <cellStyle name="Percent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2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49"/>
  <sheetViews>
    <sheetView topLeftCell="H1" workbookViewId="0">
      <selection activeCell="R1" activeCellId="1" sqref="A1:B1048576 R1:S1048576"/>
    </sheetView>
  </sheetViews>
  <sheetFormatPr defaultColWidth="13.7109375" defaultRowHeight="15" x14ac:dyDescent="0.25"/>
  <cols>
    <col min="1" max="1" width="72.5703125" style="1" customWidth="1"/>
    <col min="2" max="2" width="15.28515625" customWidth="1"/>
    <col min="3" max="3" width="44.5703125" style="3" customWidth="1"/>
    <col min="4" max="4" width="20.85546875" style="3" bestFit="1" customWidth="1"/>
    <col min="5" max="5" width="13.5703125" style="3" customWidth="1"/>
    <col min="6" max="6" width="11.7109375" customWidth="1"/>
    <col min="7" max="7" width="14" customWidth="1"/>
    <col min="8" max="8" width="11.42578125" bestFit="1" customWidth="1"/>
    <col min="9" max="9" width="13.28515625" customWidth="1"/>
    <col min="10" max="11" width="15.5703125" customWidth="1"/>
    <col min="12" max="12" width="13" bestFit="1" customWidth="1"/>
    <col min="13" max="13" width="13" customWidth="1"/>
    <col min="14" max="14" width="15.140625" customWidth="1"/>
    <col min="15" max="15" width="12.7109375" bestFit="1" customWidth="1"/>
    <col min="16" max="16" width="15" customWidth="1"/>
    <col min="17" max="17" width="17.28515625" customWidth="1"/>
    <col min="18" max="18" width="14" customWidth="1"/>
    <col min="21" max="21" width="23" customWidth="1"/>
    <col min="22" max="22" width="13.28515625" customWidth="1"/>
    <col min="23" max="23" width="12.28515625" customWidth="1"/>
    <col min="24" max="24" width="13" customWidth="1"/>
    <col min="25" max="25" width="4.140625" customWidth="1"/>
  </cols>
  <sheetData>
    <row r="1" spans="1:26" ht="61.5" thickTop="1" thickBot="1" x14ac:dyDescent="0.3">
      <c r="A1" s="1" t="s">
        <v>0</v>
      </c>
      <c r="B1" s="2" t="s">
        <v>1</v>
      </c>
      <c r="D1" s="4" t="s">
        <v>2</v>
      </c>
      <c r="E1" s="5" t="s">
        <v>3</v>
      </c>
      <c r="F1" s="6"/>
      <c r="G1" s="6"/>
      <c r="H1" s="7" t="s">
        <v>4</v>
      </c>
      <c r="I1" s="6"/>
      <c r="J1" s="6"/>
      <c r="K1" s="8" t="s">
        <v>5</v>
      </c>
      <c r="M1" s="6"/>
      <c r="N1" s="6"/>
      <c r="O1" s="6"/>
      <c r="P1" s="6"/>
      <c r="Q1" s="6"/>
    </row>
    <row r="2" spans="1:26" s="11" customFormat="1" ht="60.75" thickTop="1" x14ac:dyDescent="0.25">
      <c r="A2" s="9" t="s">
        <v>6</v>
      </c>
      <c r="B2" s="9" t="s">
        <v>7</v>
      </c>
      <c r="C2" s="10" t="s">
        <v>8</v>
      </c>
      <c r="D2" s="10" t="s">
        <v>9</v>
      </c>
      <c r="E2" s="10" t="s">
        <v>10</v>
      </c>
      <c r="F2" s="9" t="s">
        <v>11</v>
      </c>
      <c r="G2" s="9" t="s">
        <v>12</v>
      </c>
      <c r="H2" s="9" t="s">
        <v>13</v>
      </c>
      <c r="I2" s="9" t="s">
        <v>14</v>
      </c>
      <c r="J2" s="9" t="s">
        <v>15</v>
      </c>
      <c r="K2" s="9" t="s">
        <v>16</v>
      </c>
      <c r="L2" s="9" t="s">
        <v>17</v>
      </c>
      <c r="M2" s="9" t="s">
        <v>18</v>
      </c>
      <c r="N2" s="9" t="s">
        <v>19</v>
      </c>
      <c r="O2" s="9" t="s">
        <v>20</v>
      </c>
      <c r="P2" s="9" t="s">
        <v>21</v>
      </c>
      <c r="Q2" s="9" t="s">
        <v>22</v>
      </c>
      <c r="R2" s="9" t="s">
        <v>23</v>
      </c>
      <c r="S2" s="9" t="s">
        <v>24</v>
      </c>
      <c r="T2" s="9" t="s">
        <v>25</v>
      </c>
      <c r="U2" s="9" t="s">
        <v>26</v>
      </c>
      <c r="V2" s="9" t="s">
        <v>27</v>
      </c>
      <c r="W2" s="9" t="s">
        <v>28</v>
      </c>
      <c r="X2" s="9" t="s">
        <v>29</v>
      </c>
      <c r="Z2" s="11" t="s">
        <v>30</v>
      </c>
    </row>
    <row r="3" spans="1:26" x14ac:dyDescent="0.25">
      <c r="A3" s="1" t="s">
        <v>31</v>
      </c>
      <c r="B3" s="12" t="s">
        <v>32</v>
      </c>
      <c r="C3" s="3" t="s">
        <v>33</v>
      </c>
      <c r="D3" s="3" t="s">
        <v>34</v>
      </c>
      <c r="E3" s="3" t="s">
        <v>35</v>
      </c>
      <c r="F3" s="12">
        <f>228+49</f>
        <v>277</v>
      </c>
      <c r="G3" s="12">
        <v>328</v>
      </c>
      <c r="H3" s="13">
        <v>84.451219512195124</v>
      </c>
      <c r="I3" s="13">
        <f>39+160</f>
        <v>199</v>
      </c>
      <c r="J3" s="13">
        <v>252</v>
      </c>
      <c r="K3" s="13">
        <v>87.3</v>
      </c>
      <c r="L3" s="13">
        <v>78.968253968253961</v>
      </c>
      <c r="M3" s="13">
        <f>220+60</f>
        <v>280</v>
      </c>
      <c r="N3" s="13">
        <v>432</v>
      </c>
      <c r="O3" s="13">
        <v>64.81481481481481</v>
      </c>
      <c r="P3">
        <f t="shared" ref="P3:Q34" si="0">F3+I3+M3</f>
        <v>756</v>
      </c>
      <c r="Q3">
        <f t="shared" si="0"/>
        <v>1012</v>
      </c>
      <c r="R3" s="14">
        <f t="shared" ref="R3:R37" si="1">P3/Q3*100</f>
        <v>74.703557312252968</v>
      </c>
      <c r="S3">
        <v>79.900000000000006</v>
      </c>
      <c r="T3" s="14">
        <f t="shared" ref="T3:T66" si="2">S3-R3</f>
        <v>5.1964426877470373</v>
      </c>
      <c r="U3" s="15" t="str">
        <f t="shared" ref="U3:U66" si="3">IF(R3&gt;S3,"Yes","No")</f>
        <v>No</v>
      </c>
      <c r="V3" s="16" t="str">
        <f t="shared" ref="V3:V66" si="4">IF(H3&gt;S3,"Yes","No")</f>
        <v>Yes</v>
      </c>
      <c r="W3" s="15" t="str">
        <f t="shared" ref="W3:W66" si="5">IF(L3&gt;S3,"Yes","No")</f>
        <v>No</v>
      </c>
      <c r="X3" s="17" t="str">
        <f t="shared" ref="X3:X66" si="6">IF(O3&gt;S3,"Yes","No")</f>
        <v>No</v>
      </c>
      <c r="Z3" s="18">
        <f t="shared" ref="Z3:Z66" si="7">K3-H3</f>
        <v>2.8487804878048735</v>
      </c>
    </row>
    <row r="4" spans="1:26" ht="30" x14ac:dyDescent="0.25">
      <c r="A4" s="1" t="s">
        <v>36</v>
      </c>
      <c r="B4" t="s">
        <v>37</v>
      </c>
      <c r="C4" s="3" t="s">
        <v>33</v>
      </c>
      <c r="D4" s="3" t="s">
        <v>34</v>
      </c>
      <c r="E4" s="3" t="s">
        <v>35</v>
      </c>
      <c r="F4">
        <f>193+13</f>
        <v>206</v>
      </c>
      <c r="G4">
        <v>411</v>
      </c>
      <c r="H4" s="13">
        <v>50.121654501216554</v>
      </c>
      <c r="I4" s="13">
        <f>23+135</f>
        <v>158</v>
      </c>
      <c r="J4" s="13">
        <v>432</v>
      </c>
      <c r="K4" s="13">
        <v>60.1</v>
      </c>
      <c r="L4" s="13">
        <v>36.574074074074076</v>
      </c>
      <c r="M4" s="13">
        <f>12+146</f>
        <v>158</v>
      </c>
      <c r="N4" s="13">
        <v>432</v>
      </c>
      <c r="O4" s="13">
        <v>36.574074074074076</v>
      </c>
      <c r="P4">
        <f t="shared" si="0"/>
        <v>522</v>
      </c>
      <c r="Q4">
        <f t="shared" si="0"/>
        <v>1275</v>
      </c>
      <c r="R4" s="14">
        <f t="shared" si="1"/>
        <v>40.941176470588239</v>
      </c>
      <c r="S4">
        <v>64</v>
      </c>
      <c r="T4" s="14">
        <f t="shared" si="2"/>
        <v>23.058823529411761</v>
      </c>
      <c r="U4" s="15" t="str">
        <f t="shared" si="3"/>
        <v>No</v>
      </c>
      <c r="V4" s="17" t="str">
        <f t="shared" si="4"/>
        <v>No</v>
      </c>
      <c r="W4" s="15" t="str">
        <f t="shared" si="5"/>
        <v>No</v>
      </c>
      <c r="X4" s="15" t="str">
        <f t="shared" si="6"/>
        <v>No</v>
      </c>
      <c r="Z4" s="18">
        <f t="shared" si="7"/>
        <v>9.9783454987834475</v>
      </c>
    </row>
    <row r="5" spans="1:26" x14ac:dyDescent="0.25">
      <c r="B5" t="s">
        <v>38</v>
      </c>
      <c r="C5" s="3" t="s">
        <v>33</v>
      </c>
      <c r="D5" s="3" t="s">
        <v>34</v>
      </c>
      <c r="E5" s="3" t="s">
        <v>35</v>
      </c>
      <c r="F5">
        <f>2+226</f>
        <v>228</v>
      </c>
      <c r="G5">
        <v>411</v>
      </c>
      <c r="H5" s="13">
        <v>55.474452554744524</v>
      </c>
      <c r="I5" s="13">
        <f>6+167</f>
        <v>173</v>
      </c>
      <c r="J5" s="13">
        <v>432</v>
      </c>
      <c r="K5" s="13">
        <v>54.26</v>
      </c>
      <c r="L5" s="13">
        <v>40.046296296296298</v>
      </c>
      <c r="M5" s="13">
        <f>7+124</f>
        <v>131</v>
      </c>
      <c r="N5" s="13">
        <v>432</v>
      </c>
      <c r="O5" s="13">
        <v>30.324074074074076</v>
      </c>
      <c r="P5">
        <f t="shared" si="0"/>
        <v>532</v>
      </c>
      <c r="Q5">
        <f t="shared" si="0"/>
        <v>1275</v>
      </c>
      <c r="R5" s="14">
        <f t="shared" si="1"/>
        <v>41.725490196078432</v>
      </c>
      <c r="S5">
        <v>60.5</v>
      </c>
      <c r="T5" s="14">
        <f t="shared" si="2"/>
        <v>18.774509803921568</v>
      </c>
      <c r="U5" s="15" t="str">
        <f t="shared" si="3"/>
        <v>No</v>
      </c>
      <c r="V5" s="15" t="str">
        <f t="shared" si="4"/>
        <v>No</v>
      </c>
      <c r="W5" s="15" t="str">
        <f t="shared" si="5"/>
        <v>No</v>
      </c>
      <c r="X5" s="15" t="str">
        <f t="shared" si="6"/>
        <v>No</v>
      </c>
      <c r="Z5" s="18">
        <f t="shared" si="7"/>
        <v>-1.2144525547445255</v>
      </c>
    </row>
    <row r="6" spans="1:26" x14ac:dyDescent="0.25">
      <c r="B6" t="s">
        <v>39</v>
      </c>
      <c r="C6" s="3" t="s">
        <v>33</v>
      </c>
      <c r="D6" s="3" t="s">
        <v>34</v>
      </c>
      <c r="E6" s="3" t="s">
        <v>35</v>
      </c>
      <c r="F6">
        <v>214</v>
      </c>
      <c r="G6">
        <v>411</v>
      </c>
      <c r="H6" s="13">
        <v>52.068126520681268</v>
      </c>
      <c r="I6" s="13">
        <f>171+3</f>
        <v>174</v>
      </c>
      <c r="J6" s="13">
        <v>432</v>
      </c>
      <c r="K6" s="13">
        <v>46.72</v>
      </c>
      <c r="L6" s="13">
        <v>40.277777777777779</v>
      </c>
      <c r="M6" s="13">
        <f>2+110</f>
        <v>112</v>
      </c>
      <c r="N6" s="13">
        <v>432</v>
      </c>
      <c r="O6" s="13">
        <v>25.925925925925924</v>
      </c>
      <c r="P6">
        <f t="shared" si="0"/>
        <v>500</v>
      </c>
      <c r="Q6">
        <f t="shared" si="0"/>
        <v>1275</v>
      </c>
      <c r="R6" s="14">
        <f t="shared" si="1"/>
        <v>39.215686274509807</v>
      </c>
      <c r="S6">
        <v>53.5</v>
      </c>
      <c r="T6" s="14">
        <f t="shared" si="2"/>
        <v>14.284313725490193</v>
      </c>
      <c r="U6" s="15" t="str">
        <f t="shared" si="3"/>
        <v>No</v>
      </c>
      <c r="V6" s="17" t="str">
        <f t="shared" si="4"/>
        <v>No</v>
      </c>
      <c r="W6" s="15" t="str">
        <f t="shared" si="5"/>
        <v>No</v>
      </c>
      <c r="X6" s="15" t="str">
        <f t="shared" si="6"/>
        <v>No</v>
      </c>
      <c r="Z6" s="18">
        <f t="shared" si="7"/>
        <v>-5.3481265206812694</v>
      </c>
    </row>
    <row r="7" spans="1:26" x14ac:dyDescent="0.25">
      <c r="A7" s="1" t="s">
        <v>40</v>
      </c>
      <c r="B7" t="s">
        <v>41</v>
      </c>
      <c r="C7" s="3" t="s">
        <v>33</v>
      </c>
      <c r="D7" s="3" t="s">
        <v>34</v>
      </c>
      <c r="E7" s="3" t="s">
        <v>35</v>
      </c>
      <c r="F7">
        <f>211+129</f>
        <v>340</v>
      </c>
      <c r="G7">
        <v>411</v>
      </c>
      <c r="H7" s="13">
        <v>82.725060827250601</v>
      </c>
      <c r="I7" s="13">
        <f>149+163</f>
        <v>312</v>
      </c>
      <c r="J7" s="13">
        <v>432</v>
      </c>
      <c r="K7" s="13">
        <v>83.94</v>
      </c>
      <c r="L7" s="13">
        <v>72.222222222222214</v>
      </c>
      <c r="M7" s="13">
        <f>243+51</f>
        <v>294</v>
      </c>
      <c r="N7" s="13">
        <v>432</v>
      </c>
      <c r="O7" s="13">
        <v>68.055555555555557</v>
      </c>
      <c r="P7">
        <f t="shared" si="0"/>
        <v>946</v>
      </c>
      <c r="Q7">
        <f t="shared" si="0"/>
        <v>1275</v>
      </c>
      <c r="R7" s="14">
        <f t="shared" si="1"/>
        <v>74.196078431372541</v>
      </c>
      <c r="S7">
        <v>78</v>
      </c>
      <c r="T7" s="14">
        <f t="shared" si="2"/>
        <v>3.8039215686274588</v>
      </c>
      <c r="U7" s="15" t="str">
        <f t="shared" si="3"/>
        <v>No</v>
      </c>
      <c r="V7" s="19" t="str">
        <f t="shared" si="4"/>
        <v>Yes</v>
      </c>
      <c r="W7" s="15" t="str">
        <f t="shared" si="5"/>
        <v>No</v>
      </c>
      <c r="X7" s="15" t="str">
        <f t="shared" si="6"/>
        <v>No</v>
      </c>
      <c r="Z7" s="18">
        <f t="shared" si="7"/>
        <v>1.2149391727493963</v>
      </c>
    </row>
    <row r="8" spans="1:26" x14ac:dyDescent="0.25">
      <c r="B8" t="s">
        <v>42</v>
      </c>
      <c r="C8" s="3" t="s">
        <v>33</v>
      </c>
      <c r="D8" s="3" t="s">
        <v>34</v>
      </c>
      <c r="E8" s="3" t="s">
        <v>35</v>
      </c>
      <c r="F8">
        <f>252+137</f>
        <v>389</v>
      </c>
      <c r="G8">
        <v>411</v>
      </c>
      <c r="H8" s="13">
        <v>94.647201946472009</v>
      </c>
      <c r="I8" s="13">
        <f>189+176</f>
        <v>365</v>
      </c>
      <c r="J8" s="13">
        <v>432</v>
      </c>
      <c r="K8" s="13">
        <v>92.94</v>
      </c>
      <c r="L8" s="13">
        <v>84.490740740740748</v>
      </c>
      <c r="M8" s="13">
        <f>314+52</f>
        <v>366</v>
      </c>
      <c r="N8" s="13">
        <v>432</v>
      </c>
      <c r="O8" s="13">
        <v>84.722222222222214</v>
      </c>
      <c r="P8">
        <f t="shared" si="0"/>
        <v>1120</v>
      </c>
      <c r="Q8">
        <f t="shared" si="0"/>
        <v>1275</v>
      </c>
      <c r="R8" s="14">
        <f t="shared" si="1"/>
        <v>87.843137254901961</v>
      </c>
      <c r="S8">
        <v>89</v>
      </c>
      <c r="T8" s="14">
        <f t="shared" si="2"/>
        <v>1.1568627450980387</v>
      </c>
      <c r="U8" s="15" t="str">
        <f t="shared" si="3"/>
        <v>No</v>
      </c>
      <c r="V8" s="19" t="str">
        <f t="shared" si="4"/>
        <v>Yes</v>
      </c>
      <c r="W8" s="15" t="str">
        <f t="shared" si="5"/>
        <v>No</v>
      </c>
      <c r="X8" s="15" t="str">
        <f t="shared" si="6"/>
        <v>No</v>
      </c>
      <c r="Z8" s="18">
        <f t="shared" si="7"/>
        <v>-1.7072019464720114</v>
      </c>
    </row>
    <row r="9" spans="1:26" x14ac:dyDescent="0.25">
      <c r="B9" t="s">
        <v>43</v>
      </c>
      <c r="C9" s="3" t="s">
        <v>33</v>
      </c>
      <c r="D9" s="3" t="s">
        <v>34</v>
      </c>
      <c r="E9" s="3" t="s">
        <v>35</v>
      </c>
      <c r="F9">
        <f>355+23</f>
        <v>378</v>
      </c>
      <c r="G9">
        <v>411</v>
      </c>
      <c r="H9" s="13">
        <v>91.970802919708035</v>
      </c>
      <c r="I9" s="13">
        <f>336+46</f>
        <v>382</v>
      </c>
      <c r="J9" s="13">
        <v>432</v>
      </c>
      <c r="K9" s="13">
        <v>92.7</v>
      </c>
      <c r="L9" s="13">
        <v>88.425925925925924</v>
      </c>
      <c r="M9" s="13">
        <f>359+11</f>
        <v>370</v>
      </c>
      <c r="N9" s="13">
        <v>432</v>
      </c>
      <c r="O9" s="13">
        <v>85.648148148148152</v>
      </c>
      <c r="P9">
        <f t="shared" si="0"/>
        <v>1130</v>
      </c>
      <c r="Q9">
        <f t="shared" si="0"/>
        <v>1275</v>
      </c>
      <c r="R9" s="14">
        <f t="shared" si="1"/>
        <v>88.627450980392155</v>
      </c>
      <c r="S9">
        <v>90</v>
      </c>
      <c r="T9" s="14">
        <f t="shared" si="2"/>
        <v>1.3725490196078454</v>
      </c>
      <c r="U9" s="15" t="str">
        <f t="shared" si="3"/>
        <v>No</v>
      </c>
      <c r="V9" s="19" t="str">
        <f t="shared" si="4"/>
        <v>Yes</v>
      </c>
      <c r="W9" s="15" t="str">
        <f t="shared" si="5"/>
        <v>No</v>
      </c>
      <c r="X9" s="15" t="str">
        <f t="shared" si="6"/>
        <v>No</v>
      </c>
      <c r="Z9" s="18">
        <f t="shared" si="7"/>
        <v>0.72919708029196784</v>
      </c>
    </row>
    <row r="10" spans="1:26" x14ac:dyDescent="0.25">
      <c r="B10" t="s">
        <v>44</v>
      </c>
      <c r="C10" s="3" t="s">
        <v>33</v>
      </c>
      <c r="D10" s="3" t="s">
        <v>34</v>
      </c>
      <c r="E10" s="3" t="s">
        <v>35</v>
      </c>
      <c r="F10">
        <f>314+78</f>
        <v>392</v>
      </c>
      <c r="G10">
        <v>411</v>
      </c>
      <c r="H10" s="13">
        <v>95.37712895377129</v>
      </c>
      <c r="I10" s="13">
        <f>271+104</f>
        <v>375</v>
      </c>
      <c r="J10" s="13">
        <v>432</v>
      </c>
      <c r="K10" s="13">
        <v>93.19</v>
      </c>
      <c r="L10" s="13">
        <v>86.805555555555557</v>
      </c>
      <c r="M10" s="13">
        <f>342+29</f>
        <v>371</v>
      </c>
      <c r="N10" s="13">
        <v>432</v>
      </c>
      <c r="O10" s="13">
        <v>85.879629629629633</v>
      </c>
      <c r="P10">
        <f t="shared" si="0"/>
        <v>1138</v>
      </c>
      <c r="Q10">
        <f t="shared" si="0"/>
        <v>1275</v>
      </c>
      <c r="R10" s="14">
        <f t="shared" si="1"/>
        <v>89.254901960784309</v>
      </c>
      <c r="S10">
        <v>89.3</v>
      </c>
      <c r="T10" s="14">
        <f t="shared" si="2"/>
        <v>4.5098039215687891E-2</v>
      </c>
      <c r="U10" s="15" t="str">
        <f t="shared" si="3"/>
        <v>No</v>
      </c>
      <c r="V10" s="19" t="str">
        <f t="shared" si="4"/>
        <v>Yes</v>
      </c>
      <c r="W10" s="15" t="str">
        <f t="shared" si="5"/>
        <v>No</v>
      </c>
      <c r="X10" s="15" t="str">
        <f t="shared" si="6"/>
        <v>No</v>
      </c>
      <c r="Z10" s="18">
        <f t="shared" si="7"/>
        <v>-2.1871289537712926</v>
      </c>
    </row>
    <row r="11" spans="1:26" x14ac:dyDescent="0.25">
      <c r="B11" t="s">
        <v>45</v>
      </c>
      <c r="C11" s="3" t="s">
        <v>33</v>
      </c>
      <c r="D11" s="3" t="s">
        <v>34</v>
      </c>
      <c r="E11" s="3" t="s">
        <v>35</v>
      </c>
      <c r="F11">
        <f>107+267</f>
        <v>374</v>
      </c>
      <c r="G11">
        <v>411</v>
      </c>
      <c r="H11" s="13">
        <v>90.997566909975674</v>
      </c>
      <c r="I11" s="13">
        <f>82+263</f>
        <v>345</v>
      </c>
      <c r="J11" s="13">
        <v>432</v>
      </c>
      <c r="K11" s="13">
        <v>91.73</v>
      </c>
      <c r="L11" s="13">
        <v>79.861111111111114</v>
      </c>
      <c r="M11" s="13">
        <f>195+146</f>
        <v>341</v>
      </c>
      <c r="N11" s="13">
        <v>432</v>
      </c>
      <c r="O11" s="13">
        <v>78.93518518518519</v>
      </c>
      <c r="P11">
        <f t="shared" si="0"/>
        <v>1060</v>
      </c>
      <c r="Q11">
        <f t="shared" si="0"/>
        <v>1275</v>
      </c>
      <c r="R11" s="14">
        <f t="shared" si="1"/>
        <v>83.137254901960787</v>
      </c>
      <c r="S11">
        <v>89.3</v>
      </c>
      <c r="T11" s="14">
        <f t="shared" si="2"/>
        <v>6.1627450980392098</v>
      </c>
      <c r="U11" s="15" t="str">
        <f t="shared" si="3"/>
        <v>No</v>
      </c>
      <c r="V11" s="16" t="str">
        <f t="shared" si="4"/>
        <v>Yes</v>
      </c>
      <c r="W11" s="15" t="str">
        <f t="shared" si="5"/>
        <v>No</v>
      </c>
      <c r="X11" s="15" t="str">
        <f t="shared" si="6"/>
        <v>No</v>
      </c>
      <c r="Z11" s="18">
        <f t="shared" si="7"/>
        <v>0.73243309002432966</v>
      </c>
    </row>
    <row r="12" spans="1:26" x14ac:dyDescent="0.25">
      <c r="B12" t="s">
        <v>46</v>
      </c>
      <c r="C12" s="3" t="s">
        <v>33</v>
      </c>
      <c r="D12" s="3" t="s">
        <v>34</v>
      </c>
      <c r="E12" s="3" t="s">
        <v>35</v>
      </c>
      <c r="F12">
        <f>360+21</f>
        <v>381</v>
      </c>
      <c r="G12">
        <v>411</v>
      </c>
      <c r="H12" s="13">
        <v>92.700729927007302</v>
      </c>
      <c r="I12" s="13">
        <f>333+47</f>
        <v>380</v>
      </c>
      <c r="J12" s="13">
        <v>432</v>
      </c>
      <c r="K12" s="13">
        <v>92.7</v>
      </c>
      <c r="L12" s="13">
        <v>87.962962962962962</v>
      </c>
      <c r="M12" s="13">
        <f>365+11</f>
        <v>376</v>
      </c>
      <c r="N12" s="13">
        <v>432</v>
      </c>
      <c r="O12" s="13">
        <v>87.037037037037038</v>
      </c>
      <c r="P12">
        <f t="shared" si="0"/>
        <v>1137</v>
      </c>
      <c r="Q12">
        <f t="shared" si="0"/>
        <v>1275</v>
      </c>
      <c r="R12" s="14">
        <f t="shared" si="1"/>
        <v>89.17647058823529</v>
      </c>
      <c r="S12">
        <v>89.7</v>
      </c>
      <c r="T12" s="14">
        <f t="shared" si="2"/>
        <v>0.5235294117647129</v>
      </c>
      <c r="U12" s="15" t="str">
        <f t="shared" si="3"/>
        <v>No</v>
      </c>
      <c r="V12" s="16" t="str">
        <f t="shared" si="4"/>
        <v>Yes</v>
      </c>
      <c r="W12" s="15" t="str">
        <f t="shared" si="5"/>
        <v>No</v>
      </c>
      <c r="X12" s="17" t="str">
        <f t="shared" si="6"/>
        <v>No</v>
      </c>
      <c r="Z12" s="18">
        <f t="shared" si="7"/>
        <v>-7.2992700729912485E-4</v>
      </c>
    </row>
    <row r="13" spans="1:26" x14ac:dyDescent="0.25">
      <c r="B13" t="s">
        <v>47</v>
      </c>
      <c r="C13" s="3" t="s">
        <v>33</v>
      </c>
      <c r="D13" s="3" t="s">
        <v>34</v>
      </c>
      <c r="E13" s="3" t="s">
        <v>35</v>
      </c>
      <c r="F13">
        <f>226+128</f>
        <v>354</v>
      </c>
      <c r="G13">
        <v>411</v>
      </c>
      <c r="H13" s="13">
        <v>86.131386861313857</v>
      </c>
      <c r="I13" s="13">
        <f>157+168</f>
        <v>325</v>
      </c>
      <c r="J13" s="13">
        <v>432</v>
      </c>
      <c r="K13" s="13">
        <v>85.4</v>
      </c>
      <c r="L13" s="13">
        <v>75.231481481481481</v>
      </c>
      <c r="M13" s="13">
        <f>248+50</f>
        <v>298</v>
      </c>
      <c r="N13" s="13">
        <v>432</v>
      </c>
      <c r="O13" s="13">
        <v>68.981481481481481</v>
      </c>
      <c r="P13">
        <f t="shared" si="0"/>
        <v>977</v>
      </c>
      <c r="Q13">
        <f t="shared" si="0"/>
        <v>1275</v>
      </c>
      <c r="R13" s="14">
        <f t="shared" si="1"/>
        <v>76.627450980392155</v>
      </c>
      <c r="S13">
        <v>78.3</v>
      </c>
      <c r="T13" s="14">
        <f t="shared" si="2"/>
        <v>1.6725490196078425</v>
      </c>
      <c r="U13" s="15" t="str">
        <f t="shared" si="3"/>
        <v>No</v>
      </c>
      <c r="V13" s="19" t="str">
        <f t="shared" si="4"/>
        <v>Yes</v>
      </c>
      <c r="W13" s="15" t="str">
        <f t="shared" si="5"/>
        <v>No</v>
      </c>
      <c r="X13" s="15" t="str">
        <f t="shared" si="6"/>
        <v>No</v>
      </c>
      <c r="Z13" s="18">
        <f t="shared" si="7"/>
        <v>-0.731386861313851</v>
      </c>
    </row>
    <row r="14" spans="1:26" x14ac:dyDescent="0.25">
      <c r="B14" t="s">
        <v>48</v>
      </c>
      <c r="C14" s="3" t="s">
        <v>33</v>
      </c>
      <c r="D14" s="3" t="s">
        <v>34</v>
      </c>
      <c r="E14" s="3" t="s">
        <v>35</v>
      </c>
      <c r="F14">
        <f>355+16</f>
        <v>371</v>
      </c>
      <c r="G14">
        <v>411</v>
      </c>
      <c r="H14" s="13">
        <v>90.267639902676393</v>
      </c>
      <c r="I14" s="13">
        <f>317+34</f>
        <v>351</v>
      </c>
      <c r="J14" s="13">
        <v>432</v>
      </c>
      <c r="K14" s="13">
        <v>92.7</v>
      </c>
      <c r="L14" s="13">
        <v>81.25</v>
      </c>
      <c r="M14" s="13">
        <f>325+4</f>
        <v>329</v>
      </c>
      <c r="N14" s="13">
        <v>432</v>
      </c>
      <c r="O14" s="13">
        <v>76.157407407407405</v>
      </c>
      <c r="P14">
        <f t="shared" si="0"/>
        <v>1051</v>
      </c>
      <c r="Q14">
        <f t="shared" si="0"/>
        <v>1275</v>
      </c>
      <c r="R14" s="14">
        <f t="shared" si="1"/>
        <v>82.431372549019613</v>
      </c>
      <c r="S14">
        <v>83.4</v>
      </c>
      <c r="T14" s="14">
        <f t="shared" si="2"/>
        <v>0.96862745098039227</v>
      </c>
      <c r="U14" s="15" t="str">
        <f t="shared" si="3"/>
        <v>No</v>
      </c>
      <c r="V14" s="19" t="str">
        <f t="shared" si="4"/>
        <v>Yes</v>
      </c>
      <c r="W14" s="15" t="str">
        <f t="shared" si="5"/>
        <v>No</v>
      </c>
      <c r="X14" s="15" t="str">
        <f t="shared" si="6"/>
        <v>No</v>
      </c>
      <c r="Z14" s="18">
        <f t="shared" si="7"/>
        <v>2.4323600973236097</v>
      </c>
    </row>
    <row r="15" spans="1:26" x14ac:dyDescent="0.25">
      <c r="B15" t="s">
        <v>49</v>
      </c>
      <c r="C15" s="3" t="s">
        <v>33</v>
      </c>
      <c r="D15" s="3" t="s">
        <v>34</v>
      </c>
      <c r="E15" s="3" t="s">
        <v>35</v>
      </c>
      <c r="F15">
        <f>193+118</f>
        <v>311</v>
      </c>
      <c r="G15">
        <v>411</v>
      </c>
      <c r="H15" s="13">
        <v>75.669099756690997</v>
      </c>
      <c r="I15" s="13">
        <f>132+140</f>
        <v>272</v>
      </c>
      <c r="J15" s="13">
        <v>432</v>
      </c>
      <c r="K15" s="13">
        <v>76.16</v>
      </c>
      <c r="L15" s="13">
        <v>62.962962962962962</v>
      </c>
      <c r="M15" s="13">
        <f>211+40</f>
        <v>251</v>
      </c>
      <c r="N15" s="13">
        <v>432</v>
      </c>
      <c r="O15" s="13">
        <v>58.101851851851848</v>
      </c>
      <c r="P15">
        <f t="shared" si="0"/>
        <v>834</v>
      </c>
      <c r="Q15">
        <f t="shared" si="0"/>
        <v>1275</v>
      </c>
      <c r="R15" s="14">
        <f t="shared" si="1"/>
        <v>65.411764705882362</v>
      </c>
      <c r="S15">
        <v>68.099999999999994</v>
      </c>
      <c r="T15" s="14">
        <f t="shared" si="2"/>
        <v>2.6882352941176322</v>
      </c>
      <c r="U15" s="15" t="str">
        <f t="shared" si="3"/>
        <v>No</v>
      </c>
      <c r="V15" s="19" t="str">
        <f t="shared" si="4"/>
        <v>Yes</v>
      </c>
      <c r="W15" s="15" t="str">
        <f t="shared" si="5"/>
        <v>No</v>
      </c>
      <c r="X15" s="15" t="str">
        <f t="shared" si="6"/>
        <v>No</v>
      </c>
      <c r="Z15" s="18">
        <f t="shared" si="7"/>
        <v>0.49090024330899951</v>
      </c>
    </row>
    <row r="16" spans="1:26" x14ac:dyDescent="0.25">
      <c r="B16" t="s">
        <v>50</v>
      </c>
      <c r="C16" s="3" t="s">
        <v>33</v>
      </c>
      <c r="D16" s="3" t="s">
        <v>34</v>
      </c>
      <c r="E16" s="3" t="s">
        <v>35</v>
      </c>
      <c r="F16">
        <f>234+30</f>
        <v>264</v>
      </c>
      <c r="G16">
        <v>411</v>
      </c>
      <c r="H16" s="13">
        <v>64.233576642335763</v>
      </c>
      <c r="I16" s="13">
        <f>217+33</f>
        <v>250</v>
      </c>
      <c r="J16" s="13">
        <v>432</v>
      </c>
      <c r="K16" s="13">
        <v>64.959999999999994</v>
      </c>
      <c r="L16" s="13">
        <v>57.870370370370374</v>
      </c>
      <c r="M16" s="13">
        <f>203+15</f>
        <v>218</v>
      </c>
      <c r="N16" s="13">
        <v>432</v>
      </c>
      <c r="O16" s="13">
        <v>50.462962962962962</v>
      </c>
      <c r="P16">
        <f t="shared" si="0"/>
        <v>732</v>
      </c>
      <c r="Q16">
        <f t="shared" si="0"/>
        <v>1275</v>
      </c>
      <c r="R16" s="14">
        <f t="shared" si="1"/>
        <v>57.411764705882348</v>
      </c>
      <c r="S16">
        <v>51.1</v>
      </c>
      <c r="T16" s="14">
        <f t="shared" si="2"/>
        <v>-6.3117647058823465</v>
      </c>
      <c r="U16" s="16" t="str">
        <f t="shared" si="3"/>
        <v>Yes</v>
      </c>
      <c r="V16" s="19" t="str">
        <f t="shared" si="4"/>
        <v>Yes</v>
      </c>
      <c r="W16" s="19" t="str">
        <f t="shared" si="5"/>
        <v>Yes</v>
      </c>
      <c r="X16" s="15" t="str">
        <f t="shared" si="6"/>
        <v>No</v>
      </c>
      <c r="Z16" s="18">
        <f t="shared" si="7"/>
        <v>0.72642335766423116</v>
      </c>
    </row>
    <row r="17" spans="1:26" x14ac:dyDescent="0.25">
      <c r="B17" t="s">
        <v>51</v>
      </c>
      <c r="C17" s="3" t="s">
        <v>33</v>
      </c>
      <c r="D17" s="3" t="s">
        <v>34</v>
      </c>
      <c r="E17" s="3" t="s">
        <v>35</v>
      </c>
      <c r="F17">
        <f>83+239</f>
        <v>322</v>
      </c>
      <c r="G17">
        <v>411</v>
      </c>
      <c r="H17" s="13">
        <v>78.345498783454985</v>
      </c>
      <c r="I17" s="13">
        <f>58+224</f>
        <v>282</v>
      </c>
      <c r="J17" s="13">
        <v>432</v>
      </c>
      <c r="K17" s="13">
        <v>80.290000000000006</v>
      </c>
      <c r="L17" s="13">
        <v>65.277777777777786</v>
      </c>
      <c r="M17" s="13">
        <f>142+119</f>
        <v>261</v>
      </c>
      <c r="N17" s="13">
        <v>432</v>
      </c>
      <c r="O17" s="13">
        <v>60.416666666666664</v>
      </c>
      <c r="P17">
        <f t="shared" si="0"/>
        <v>865</v>
      </c>
      <c r="Q17">
        <f t="shared" si="0"/>
        <v>1275</v>
      </c>
      <c r="R17" s="14">
        <f t="shared" si="1"/>
        <v>67.843137254901961</v>
      </c>
      <c r="S17">
        <v>73.8</v>
      </c>
      <c r="T17" s="14">
        <f t="shared" si="2"/>
        <v>5.9568627450980358</v>
      </c>
      <c r="U17" s="15" t="str">
        <f t="shared" si="3"/>
        <v>No</v>
      </c>
      <c r="V17" s="16" t="str">
        <f t="shared" si="4"/>
        <v>Yes</v>
      </c>
      <c r="W17" s="15" t="str">
        <f t="shared" si="5"/>
        <v>No</v>
      </c>
      <c r="X17" s="15" t="str">
        <f t="shared" si="6"/>
        <v>No</v>
      </c>
      <c r="Z17" s="18">
        <f t="shared" si="7"/>
        <v>1.9445012165450208</v>
      </c>
    </row>
    <row r="18" spans="1:26" x14ac:dyDescent="0.25">
      <c r="B18" t="s">
        <v>52</v>
      </c>
      <c r="C18" s="3" t="s">
        <v>33</v>
      </c>
      <c r="D18" s="3" t="s">
        <v>34</v>
      </c>
      <c r="E18" s="3" t="s">
        <v>35</v>
      </c>
      <c r="F18">
        <f>80+238</f>
        <v>318</v>
      </c>
      <c r="G18">
        <v>411</v>
      </c>
      <c r="H18" s="13">
        <v>77.372262773722639</v>
      </c>
      <c r="I18" s="13">
        <f>56+218</f>
        <v>274</v>
      </c>
      <c r="J18" s="13">
        <v>432</v>
      </c>
      <c r="K18" s="13">
        <v>77.62</v>
      </c>
      <c r="L18" s="13">
        <v>63.425925925925931</v>
      </c>
      <c r="M18" s="13">
        <f>128+114</f>
        <v>242</v>
      </c>
      <c r="N18" s="13">
        <v>432</v>
      </c>
      <c r="O18" s="13">
        <v>56.018518518518526</v>
      </c>
      <c r="P18">
        <f t="shared" si="0"/>
        <v>834</v>
      </c>
      <c r="Q18">
        <f t="shared" si="0"/>
        <v>1275</v>
      </c>
      <c r="R18" s="14">
        <f t="shared" si="1"/>
        <v>65.411764705882362</v>
      </c>
      <c r="S18">
        <v>70.400000000000006</v>
      </c>
      <c r="T18" s="14">
        <f t="shared" si="2"/>
        <v>4.9882352941176435</v>
      </c>
      <c r="U18" s="15" t="str">
        <f t="shared" si="3"/>
        <v>No</v>
      </c>
      <c r="V18" s="16" t="str">
        <f t="shared" si="4"/>
        <v>Yes</v>
      </c>
      <c r="W18" s="15" t="str">
        <f t="shared" si="5"/>
        <v>No</v>
      </c>
      <c r="X18" s="17" t="str">
        <f t="shared" si="6"/>
        <v>No</v>
      </c>
      <c r="Z18" s="18">
        <f t="shared" si="7"/>
        <v>0.24773722627736561</v>
      </c>
    </row>
    <row r="19" spans="1:26" x14ac:dyDescent="0.25">
      <c r="B19" t="s">
        <v>53</v>
      </c>
      <c r="C19" s="3" t="s">
        <v>33</v>
      </c>
      <c r="D19" s="3" t="s">
        <v>34</v>
      </c>
      <c r="E19" s="3" t="s">
        <v>35</v>
      </c>
      <c r="F19">
        <f>78+232</f>
        <v>310</v>
      </c>
      <c r="G19">
        <v>411</v>
      </c>
      <c r="H19" s="13">
        <v>75.425790754257903</v>
      </c>
      <c r="I19" s="13">
        <f>53+206</f>
        <v>259</v>
      </c>
      <c r="J19" s="13">
        <v>432</v>
      </c>
      <c r="K19" s="13">
        <v>76.64</v>
      </c>
      <c r="L19" s="13">
        <v>59.953703703703709</v>
      </c>
      <c r="M19" s="13">
        <f>115+99</f>
        <v>214</v>
      </c>
      <c r="N19" s="13">
        <v>432</v>
      </c>
      <c r="O19" s="13">
        <v>49.537037037037038</v>
      </c>
      <c r="P19">
        <f t="shared" si="0"/>
        <v>783</v>
      </c>
      <c r="Q19">
        <f t="shared" si="0"/>
        <v>1275</v>
      </c>
      <c r="R19" s="14">
        <f t="shared" si="1"/>
        <v>61.411764705882355</v>
      </c>
      <c r="S19" t="s">
        <v>54</v>
      </c>
      <c r="T19" s="14" t="e">
        <f t="shared" si="2"/>
        <v>#VALUE!</v>
      </c>
      <c r="U19" s="15" t="str">
        <f t="shared" si="3"/>
        <v>No</v>
      </c>
      <c r="V19" s="17" t="str">
        <f t="shared" si="4"/>
        <v>No</v>
      </c>
      <c r="W19" s="15" t="str">
        <f t="shared" si="5"/>
        <v>No</v>
      </c>
      <c r="X19" s="15" t="str">
        <f t="shared" si="6"/>
        <v>No</v>
      </c>
      <c r="Z19" s="18">
        <f t="shared" si="7"/>
        <v>1.2142092457420972</v>
      </c>
    </row>
    <row r="20" spans="1:26" x14ac:dyDescent="0.25">
      <c r="B20" t="s">
        <v>55</v>
      </c>
      <c r="C20" s="3" t="s">
        <v>33</v>
      </c>
      <c r="D20" s="3" t="s">
        <v>34</v>
      </c>
      <c r="E20" s="3" t="s">
        <v>35</v>
      </c>
      <c r="F20">
        <f>58+206</f>
        <v>264</v>
      </c>
      <c r="G20">
        <v>411</v>
      </c>
      <c r="H20" s="13">
        <v>64.233576642335763</v>
      </c>
      <c r="I20" s="13">
        <f>43+177</f>
        <v>220</v>
      </c>
      <c r="J20" s="13">
        <v>432</v>
      </c>
      <c r="K20" s="13">
        <v>65.69</v>
      </c>
      <c r="L20" s="13">
        <v>50.925925925925931</v>
      </c>
      <c r="M20" s="13">
        <f>101+91</f>
        <v>192</v>
      </c>
      <c r="N20" s="13">
        <v>432</v>
      </c>
      <c r="O20" s="13">
        <v>44.444444444444443</v>
      </c>
      <c r="P20">
        <f t="shared" si="0"/>
        <v>676</v>
      </c>
      <c r="Q20">
        <f t="shared" si="0"/>
        <v>1275</v>
      </c>
      <c r="R20" s="14">
        <f t="shared" si="1"/>
        <v>53.019607843137251</v>
      </c>
      <c r="S20" t="s">
        <v>54</v>
      </c>
      <c r="T20" s="14" t="e">
        <f t="shared" si="2"/>
        <v>#VALUE!</v>
      </c>
      <c r="U20" s="15" t="str">
        <f t="shared" si="3"/>
        <v>No</v>
      </c>
      <c r="V20" s="17" t="str">
        <f t="shared" si="4"/>
        <v>No</v>
      </c>
      <c r="W20" s="15" t="str">
        <f t="shared" si="5"/>
        <v>No</v>
      </c>
      <c r="X20" s="15" t="str">
        <f t="shared" si="6"/>
        <v>No</v>
      </c>
      <c r="Z20" s="18">
        <f t="shared" si="7"/>
        <v>1.4564233576642351</v>
      </c>
    </row>
    <row r="21" spans="1:26" x14ac:dyDescent="0.25">
      <c r="B21" t="s">
        <v>56</v>
      </c>
      <c r="C21" s="3" t="s">
        <v>33</v>
      </c>
      <c r="D21" s="3" t="s">
        <v>34</v>
      </c>
      <c r="E21" s="3" t="s">
        <v>35</v>
      </c>
      <c r="F21">
        <f>53+181</f>
        <v>234</v>
      </c>
      <c r="G21">
        <v>411</v>
      </c>
      <c r="H21" s="13">
        <v>56.934306569343065</v>
      </c>
      <c r="I21" s="13">
        <f>36+155</f>
        <v>191</v>
      </c>
      <c r="J21" s="13">
        <v>432</v>
      </c>
      <c r="K21" s="13">
        <v>59.37</v>
      </c>
      <c r="L21" s="13">
        <v>44.212962962962962</v>
      </c>
      <c r="M21" s="13">
        <f>81+79</f>
        <v>160</v>
      </c>
      <c r="N21" s="13">
        <v>432</v>
      </c>
      <c r="O21" s="13">
        <v>37.037037037037038</v>
      </c>
      <c r="P21">
        <f t="shared" si="0"/>
        <v>585</v>
      </c>
      <c r="Q21">
        <f t="shared" si="0"/>
        <v>1275</v>
      </c>
      <c r="R21" s="14">
        <f t="shared" si="1"/>
        <v>45.882352941176471</v>
      </c>
      <c r="S21" t="s">
        <v>54</v>
      </c>
      <c r="T21" s="14" t="e">
        <f t="shared" si="2"/>
        <v>#VALUE!</v>
      </c>
      <c r="U21" s="15" t="str">
        <f t="shared" si="3"/>
        <v>No</v>
      </c>
      <c r="V21" s="17" t="str">
        <f t="shared" si="4"/>
        <v>No</v>
      </c>
      <c r="W21" s="15" t="str">
        <f t="shared" si="5"/>
        <v>No</v>
      </c>
      <c r="X21" s="15" t="str">
        <f t="shared" si="6"/>
        <v>No</v>
      </c>
      <c r="Z21" s="18">
        <f t="shared" si="7"/>
        <v>2.4356934306569329</v>
      </c>
    </row>
    <row r="22" spans="1:26" x14ac:dyDescent="0.25">
      <c r="B22" t="s">
        <v>57</v>
      </c>
      <c r="C22" s="3" t="s">
        <v>33</v>
      </c>
      <c r="D22" s="3" t="s">
        <v>34</v>
      </c>
      <c r="E22" s="3" t="s">
        <v>35</v>
      </c>
      <c r="F22">
        <f>58+202</f>
        <v>260</v>
      </c>
      <c r="G22">
        <v>411</v>
      </c>
      <c r="H22" s="13">
        <v>63.260340632603409</v>
      </c>
      <c r="I22" s="13">
        <f>42+167</f>
        <v>209</v>
      </c>
      <c r="J22" s="13">
        <v>432</v>
      </c>
      <c r="K22" s="13">
        <v>64.959999999999994</v>
      </c>
      <c r="L22" s="13">
        <v>48.379629629629626</v>
      </c>
      <c r="M22" s="13">
        <f>94+84</f>
        <v>178</v>
      </c>
      <c r="N22" s="13">
        <v>432</v>
      </c>
      <c r="O22" s="13">
        <v>41.203703703703702</v>
      </c>
      <c r="P22">
        <f t="shared" si="0"/>
        <v>647</v>
      </c>
      <c r="Q22">
        <f t="shared" si="0"/>
        <v>1275</v>
      </c>
      <c r="R22" s="14">
        <f t="shared" si="1"/>
        <v>50.745098039215684</v>
      </c>
      <c r="S22" t="s">
        <v>54</v>
      </c>
      <c r="T22" s="14" t="e">
        <f t="shared" si="2"/>
        <v>#VALUE!</v>
      </c>
      <c r="U22" s="15" t="str">
        <f t="shared" si="3"/>
        <v>No</v>
      </c>
      <c r="V22" s="17" t="str">
        <f t="shared" si="4"/>
        <v>No</v>
      </c>
      <c r="W22" s="15" t="str">
        <f t="shared" si="5"/>
        <v>No</v>
      </c>
      <c r="X22" s="15" t="str">
        <f t="shared" si="6"/>
        <v>No</v>
      </c>
      <c r="Z22" s="18">
        <f t="shared" si="7"/>
        <v>1.6996593673965847</v>
      </c>
    </row>
    <row r="23" spans="1:26" x14ac:dyDescent="0.25">
      <c r="B23" t="s">
        <v>58</v>
      </c>
      <c r="C23" s="3" t="s">
        <v>33</v>
      </c>
      <c r="D23" s="3" t="s">
        <v>34</v>
      </c>
      <c r="E23" s="3" t="s">
        <v>35</v>
      </c>
      <c r="F23">
        <f>52+178</f>
        <v>230</v>
      </c>
      <c r="G23">
        <v>411</v>
      </c>
      <c r="H23" s="13">
        <v>55.961070559610704</v>
      </c>
      <c r="I23" s="13">
        <f>35+148</f>
        <v>183</v>
      </c>
      <c r="J23" s="13">
        <v>432</v>
      </c>
      <c r="K23" s="13">
        <v>58.88</v>
      </c>
      <c r="L23" s="13">
        <v>42.361111111111107</v>
      </c>
      <c r="M23" s="13">
        <f>78+74</f>
        <v>152</v>
      </c>
      <c r="N23" s="13">
        <v>432</v>
      </c>
      <c r="O23" s="13">
        <v>35.185185185185183</v>
      </c>
      <c r="P23">
        <f t="shared" si="0"/>
        <v>565</v>
      </c>
      <c r="Q23">
        <f t="shared" si="0"/>
        <v>1275</v>
      </c>
      <c r="R23" s="14">
        <f t="shared" si="1"/>
        <v>44.313725490196077</v>
      </c>
      <c r="S23" t="s">
        <v>54</v>
      </c>
      <c r="T23" s="14" t="e">
        <f t="shared" si="2"/>
        <v>#VALUE!</v>
      </c>
      <c r="U23" s="15" t="str">
        <f t="shared" si="3"/>
        <v>No</v>
      </c>
      <c r="V23" s="17" t="str">
        <f t="shared" si="4"/>
        <v>No</v>
      </c>
      <c r="W23" s="15" t="str">
        <f t="shared" si="5"/>
        <v>No</v>
      </c>
      <c r="X23" s="15" t="str">
        <f t="shared" si="6"/>
        <v>No</v>
      </c>
      <c r="Z23" s="18">
        <f t="shared" si="7"/>
        <v>2.9189294403892987</v>
      </c>
    </row>
    <row r="24" spans="1:26" x14ac:dyDescent="0.25">
      <c r="B24" t="s">
        <v>59</v>
      </c>
      <c r="C24" s="3" t="s">
        <v>33</v>
      </c>
      <c r="D24" s="3" t="s">
        <v>34</v>
      </c>
      <c r="E24" s="3" t="s">
        <v>35</v>
      </c>
      <c r="F24">
        <f>42+157</f>
        <v>199</v>
      </c>
      <c r="G24">
        <v>411</v>
      </c>
      <c r="H24" s="13">
        <v>48.418491484184919</v>
      </c>
      <c r="I24" s="13">
        <f>31+134</f>
        <v>165</v>
      </c>
      <c r="J24" s="13">
        <v>432</v>
      </c>
      <c r="K24" s="13">
        <v>50.85</v>
      </c>
      <c r="L24" s="13">
        <v>38.194444444444443</v>
      </c>
      <c r="M24" s="13">
        <f>68+68</f>
        <v>136</v>
      </c>
      <c r="N24" s="13">
        <v>432</v>
      </c>
      <c r="O24" s="13">
        <v>31.481481481481481</v>
      </c>
      <c r="P24">
        <f t="shared" si="0"/>
        <v>500</v>
      </c>
      <c r="Q24">
        <f t="shared" si="0"/>
        <v>1275</v>
      </c>
      <c r="R24" s="14">
        <f t="shared" si="1"/>
        <v>39.215686274509807</v>
      </c>
      <c r="S24" t="s">
        <v>54</v>
      </c>
      <c r="T24" s="14" t="e">
        <f t="shared" si="2"/>
        <v>#VALUE!</v>
      </c>
      <c r="U24" s="15" t="str">
        <f t="shared" si="3"/>
        <v>No</v>
      </c>
      <c r="V24" s="17" t="str">
        <f t="shared" si="4"/>
        <v>No</v>
      </c>
      <c r="W24" s="15" t="str">
        <f t="shared" si="5"/>
        <v>No</v>
      </c>
      <c r="X24" s="15" t="str">
        <f t="shared" si="6"/>
        <v>No</v>
      </c>
      <c r="Z24" s="18">
        <f t="shared" si="7"/>
        <v>2.4315085158150822</v>
      </c>
    </row>
    <row r="25" spans="1:26" x14ac:dyDescent="0.25">
      <c r="B25" t="s">
        <v>60</v>
      </c>
      <c r="C25" s="3" t="s">
        <v>33</v>
      </c>
      <c r="D25" s="3" t="s">
        <v>34</v>
      </c>
      <c r="E25" s="3" t="s">
        <v>35</v>
      </c>
      <c r="F25">
        <f>42+154</f>
        <v>196</v>
      </c>
      <c r="G25">
        <v>411</v>
      </c>
      <c r="H25" s="13">
        <v>47.688564476885645</v>
      </c>
      <c r="I25" s="13">
        <f>31+128</f>
        <v>159</v>
      </c>
      <c r="J25" s="13">
        <v>432</v>
      </c>
      <c r="K25" s="13">
        <v>50.36</v>
      </c>
      <c r="L25" s="13">
        <v>36.805555555555557</v>
      </c>
      <c r="M25" s="13">
        <f>67+65</f>
        <v>132</v>
      </c>
      <c r="N25" s="13">
        <v>432</v>
      </c>
      <c r="O25" s="13">
        <v>30.555555555555557</v>
      </c>
      <c r="P25">
        <f t="shared" si="0"/>
        <v>487</v>
      </c>
      <c r="Q25">
        <f t="shared" si="0"/>
        <v>1275</v>
      </c>
      <c r="R25" s="14">
        <f t="shared" si="1"/>
        <v>38.196078431372548</v>
      </c>
      <c r="S25">
        <v>36.1</v>
      </c>
      <c r="T25" s="14">
        <f t="shared" si="2"/>
        <v>-2.0960784313725469</v>
      </c>
      <c r="U25" s="16" t="str">
        <f t="shared" si="3"/>
        <v>Yes</v>
      </c>
      <c r="V25" s="16" t="str">
        <f t="shared" si="4"/>
        <v>Yes</v>
      </c>
      <c r="W25" s="16" t="str">
        <f t="shared" si="5"/>
        <v>Yes</v>
      </c>
      <c r="X25" s="17" t="str">
        <f t="shared" si="6"/>
        <v>No</v>
      </c>
      <c r="Z25" s="18">
        <f t="shared" si="7"/>
        <v>2.6714355231143543</v>
      </c>
    </row>
    <row r="26" spans="1:26" x14ac:dyDescent="0.25">
      <c r="A26" s="1" t="s">
        <v>61</v>
      </c>
      <c r="B26" t="s">
        <v>62</v>
      </c>
      <c r="C26" s="3" t="s">
        <v>33</v>
      </c>
      <c r="D26" s="3" t="s">
        <v>34</v>
      </c>
      <c r="E26" s="3" t="s">
        <v>35</v>
      </c>
      <c r="F26">
        <f>205+29</f>
        <v>234</v>
      </c>
      <c r="G26">
        <v>288</v>
      </c>
      <c r="H26" s="13">
        <v>81.25</v>
      </c>
      <c r="I26" s="13">
        <f>29+251</f>
        <v>280</v>
      </c>
      <c r="J26" s="13">
        <v>366</v>
      </c>
      <c r="K26" s="13">
        <v>88.52</v>
      </c>
      <c r="L26" s="13">
        <v>76.502732240437155</v>
      </c>
      <c r="M26" s="13">
        <f>279+8</f>
        <v>287</v>
      </c>
      <c r="N26" s="13">
        <v>418</v>
      </c>
      <c r="O26" s="13">
        <v>68.660287081339703</v>
      </c>
      <c r="P26">
        <f t="shared" si="0"/>
        <v>801</v>
      </c>
      <c r="Q26">
        <f t="shared" si="0"/>
        <v>1072</v>
      </c>
      <c r="R26" s="14">
        <f t="shared" si="1"/>
        <v>74.720149253731336</v>
      </c>
      <c r="S26">
        <v>73.400000000000006</v>
      </c>
      <c r="T26" s="14">
        <f t="shared" si="2"/>
        <v>-1.32014925373133</v>
      </c>
      <c r="U26" s="16" t="str">
        <f t="shared" si="3"/>
        <v>Yes</v>
      </c>
      <c r="V26" s="16" t="str">
        <f t="shared" si="4"/>
        <v>Yes</v>
      </c>
      <c r="W26" s="16" t="str">
        <f t="shared" si="5"/>
        <v>Yes</v>
      </c>
      <c r="X26" s="17" t="str">
        <f t="shared" si="6"/>
        <v>No</v>
      </c>
      <c r="Z26" s="18">
        <f t="shared" si="7"/>
        <v>7.269999999999996</v>
      </c>
    </row>
    <row r="27" spans="1:26" x14ac:dyDescent="0.25">
      <c r="B27" t="s">
        <v>63</v>
      </c>
      <c r="C27" s="3" t="s">
        <v>33</v>
      </c>
      <c r="D27" s="3" t="s">
        <v>34</v>
      </c>
      <c r="E27" s="3" t="s">
        <v>35</v>
      </c>
      <c r="F27">
        <f>217+40</f>
        <v>257</v>
      </c>
      <c r="G27">
        <v>288</v>
      </c>
      <c r="H27" s="13">
        <v>89.236111111111114</v>
      </c>
      <c r="I27" s="13">
        <f>272+31</f>
        <v>303</v>
      </c>
      <c r="J27" s="13">
        <v>366</v>
      </c>
      <c r="K27" s="13">
        <v>92.22</v>
      </c>
      <c r="L27" s="13">
        <v>82.786885245901644</v>
      </c>
      <c r="M27" s="13">
        <f>327+10</f>
        <v>337</v>
      </c>
      <c r="N27" s="13">
        <v>418</v>
      </c>
      <c r="O27" s="13">
        <v>80.622009569377994</v>
      </c>
      <c r="P27">
        <f t="shared" si="0"/>
        <v>897</v>
      </c>
      <c r="Q27">
        <f t="shared" si="0"/>
        <v>1072</v>
      </c>
      <c r="R27" s="14">
        <f t="shared" si="1"/>
        <v>83.675373134328353</v>
      </c>
      <c r="S27">
        <v>83.7</v>
      </c>
      <c r="T27" s="14">
        <f t="shared" si="2"/>
        <v>2.4626865671649512E-2</v>
      </c>
      <c r="U27" s="17" t="str">
        <f t="shared" si="3"/>
        <v>No</v>
      </c>
      <c r="V27" s="16" t="str">
        <f t="shared" si="4"/>
        <v>Yes</v>
      </c>
      <c r="W27" s="17" t="str">
        <f t="shared" si="5"/>
        <v>No</v>
      </c>
      <c r="X27" s="17" t="str">
        <f t="shared" si="6"/>
        <v>No</v>
      </c>
      <c r="Z27" s="18">
        <f t="shared" si="7"/>
        <v>2.9838888888888846</v>
      </c>
    </row>
    <row r="28" spans="1:26" x14ac:dyDescent="0.25">
      <c r="B28" t="s">
        <v>64</v>
      </c>
      <c r="C28" s="3" t="s">
        <v>33</v>
      </c>
      <c r="D28" s="3" t="s">
        <v>34</v>
      </c>
      <c r="E28" s="3" t="s">
        <v>35</v>
      </c>
      <c r="F28">
        <f>194+39</f>
        <v>233</v>
      </c>
      <c r="G28">
        <v>288</v>
      </c>
      <c r="H28" s="13">
        <v>80.902777777777786</v>
      </c>
      <c r="I28" s="13">
        <f>245+30</f>
        <v>275</v>
      </c>
      <c r="J28" s="13">
        <v>366</v>
      </c>
      <c r="K28" s="13">
        <v>87.04</v>
      </c>
      <c r="L28" s="13">
        <v>75.136612021857914</v>
      </c>
      <c r="M28" s="13">
        <f>276+8</f>
        <v>284</v>
      </c>
      <c r="N28" s="13">
        <v>418</v>
      </c>
      <c r="O28" s="13">
        <v>67.942583732057415</v>
      </c>
      <c r="P28">
        <f t="shared" si="0"/>
        <v>792</v>
      </c>
      <c r="Q28">
        <f t="shared" si="0"/>
        <v>1072</v>
      </c>
      <c r="R28" s="14">
        <f t="shared" si="1"/>
        <v>73.880597014925371</v>
      </c>
      <c r="S28">
        <v>71.400000000000006</v>
      </c>
      <c r="T28" s="14">
        <f t="shared" si="2"/>
        <v>-2.4805970149253653</v>
      </c>
      <c r="U28" s="16" t="str">
        <f t="shared" si="3"/>
        <v>Yes</v>
      </c>
      <c r="V28" s="16" t="str">
        <f t="shared" si="4"/>
        <v>Yes</v>
      </c>
      <c r="W28" s="16" t="str">
        <f t="shared" si="5"/>
        <v>Yes</v>
      </c>
      <c r="X28" s="17" t="str">
        <f t="shared" si="6"/>
        <v>No</v>
      </c>
      <c r="Z28" s="18">
        <f t="shared" si="7"/>
        <v>6.1372222222222206</v>
      </c>
    </row>
    <row r="29" spans="1:26" x14ac:dyDescent="0.25">
      <c r="A29" s="1" t="s">
        <v>65</v>
      </c>
      <c r="B29" t="s">
        <v>66</v>
      </c>
      <c r="C29" s="3" t="s">
        <v>33</v>
      </c>
      <c r="D29" s="3" t="s">
        <v>34</v>
      </c>
      <c r="E29" s="3" t="s">
        <v>35</v>
      </c>
      <c r="F29">
        <f>75+40</f>
        <v>115</v>
      </c>
      <c r="G29">
        <v>411</v>
      </c>
      <c r="H29" s="13">
        <v>27.980535279805352</v>
      </c>
      <c r="I29" s="13">
        <f>53+23</f>
        <v>76</v>
      </c>
      <c r="J29" s="13">
        <v>431</v>
      </c>
      <c r="K29" s="13">
        <v>32.119999999999997</v>
      </c>
      <c r="L29" s="13">
        <v>17.633410672853827</v>
      </c>
      <c r="M29" s="13">
        <f>42+6</f>
        <v>48</v>
      </c>
      <c r="N29" s="13">
        <v>281</v>
      </c>
      <c r="O29" s="13">
        <v>17.081850533807831</v>
      </c>
      <c r="P29">
        <f t="shared" si="0"/>
        <v>239</v>
      </c>
      <c r="Q29">
        <f t="shared" si="0"/>
        <v>1123</v>
      </c>
      <c r="R29" s="14">
        <f t="shared" si="1"/>
        <v>21.282279608192344</v>
      </c>
      <c r="S29">
        <v>22.2</v>
      </c>
      <c r="T29" s="14">
        <f t="shared" si="2"/>
        <v>0.91772039180765574</v>
      </c>
      <c r="U29" s="17" t="str">
        <f t="shared" si="3"/>
        <v>No</v>
      </c>
      <c r="V29" s="16" t="str">
        <f t="shared" si="4"/>
        <v>Yes</v>
      </c>
      <c r="W29" s="17" t="str">
        <f t="shared" si="5"/>
        <v>No</v>
      </c>
      <c r="X29" s="17" t="str">
        <f t="shared" si="6"/>
        <v>No</v>
      </c>
      <c r="Z29" s="18">
        <f t="shared" si="7"/>
        <v>4.1394647201946455</v>
      </c>
    </row>
    <row r="30" spans="1:26" x14ac:dyDescent="0.25">
      <c r="A30" s="1" t="s">
        <v>67</v>
      </c>
      <c r="B30" t="s">
        <v>68</v>
      </c>
      <c r="C30" s="3" t="s">
        <v>33</v>
      </c>
      <c r="D30" s="3" t="s">
        <v>34</v>
      </c>
      <c r="E30" s="3" t="s">
        <v>35</v>
      </c>
      <c r="F30">
        <f>327+11</f>
        <v>338</v>
      </c>
      <c r="G30">
        <v>411</v>
      </c>
      <c r="H30" s="13">
        <v>82.238442822384428</v>
      </c>
      <c r="I30" s="13">
        <f>264+17</f>
        <v>281</v>
      </c>
      <c r="J30" s="13">
        <v>432</v>
      </c>
      <c r="K30" s="13">
        <v>78.59</v>
      </c>
      <c r="L30" s="13">
        <v>65.046296296296291</v>
      </c>
      <c r="M30" s="13">
        <f>193+15</f>
        <v>208</v>
      </c>
      <c r="N30" s="13">
        <v>432</v>
      </c>
      <c r="O30" s="13">
        <v>48.148148148148145</v>
      </c>
      <c r="P30">
        <f t="shared" si="0"/>
        <v>827</v>
      </c>
      <c r="Q30">
        <f t="shared" si="0"/>
        <v>1275</v>
      </c>
      <c r="R30" s="14">
        <f t="shared" si="1"/>
        <v>64.862745098039227</v>
      </c>
      <c r="S30">
        <v>66.8</v>
      </c>
      <c r="T30" s="14">
        <f t="shared" si="2"/>
        <v>1.9372549019607703</v>
      </c>
      <c r="U30" s="15" t="str">
        <f t="shared" si="3"/>
        <v>No</v>
      </c>
      <c r="V30" s="19" t="str">
        <f t="shared" si="4"/>
        <v>Yes</v>
      </c>
      <c r="W30" s="15" t="str">
        <f t="shared" si="5"/>
        <v>No</v>
      </c>
      <c r="X30" s="15" t="str">
        <f t="shared" si="6"/>
        <v>No</v>
      </c>
      <c r="Z30" s="18">
        <f t="shared" si="7"/>
        <v>-3.6484428223844247</v>
      </c>
    </row>
    <row r="31" spans="1:26" x14ac:dyDescent="0.25">
      <c r="A31" s="1" t="s">
        <v>69</v>
      </c>
      <c r="B31" t="s">
        <v>70</v>
      </c>
      <c r="C31" s="3" t="s">
        <v>33</v>
      </c>
      <c r="D31" s="3" t="s">
        <v>34</v>
      </c>
      <c r="E31" s="3" t="s">
        <v>71</v>
      </c>
      <c r="F31">
        <v>412</v>
      </c>
      <c r="G31">
        <v>777</v>
      </c>
      <c r="H31" s="13">
        <v>53.024453024453024</v>
      </c>
      <c r="I31" s="13">
        <v>508</v>
      </c>
      <c r="J31" s="13">
        <v>957</v>
      </c>
      <c r="K31" s="13">
        <v>58.43</v>
      </c>
      <c r="L31" s="13">
        <v>53.082549634273768</v>
      </c>
      <c r="M31" s="13">
        <v>70</v>
      </c>
      <c r="N31" s="13">
        <v>158</v>
      </c>
      <c r="O31" s="13">
        <v>44.303797468354425</v>
      </c>
      <c r="P31">
        <f t="shared" si="0"/>
        <v>990</v>
      </c>
      <c r="Q31">
        <f t="shared" si="0"/>
        <v>1892</v>
      </c>
      <c r="R31" s="14">
        <f t="shared" si="1"/>
        <v>52.325581395348841</v>
      </c>
      <c r="S31">
        <v>58.8</v>
      </c>
      <c r="T31" s="14">
        <f t="shared" si="2"/>
        <v>6.4744186046511558</v>
      </c>
      <c r="U31" s="15" t="str">
        <f t="shared" si="3"/>
        <v>No</v>
      </c>
      <c r="V31" s="17" t="str">
        <f t="shared" si="4"/>
        <v>No</v>
      </c>
      <c r="W31" s="15" t="str">
        <f t="shared" si="5"/>
        <v>No</v>
      </c>
      <c r="X31" s="15" t="str">
        <f t="shared" si="6"/>
        <v>No</v>
      </c>
      <c r="Z31" s="18">
        <f t="shared" si="7"/>
        <v>5.4055469755469758</v>
      </c>
    </row>
    <row r="32" spans="1:26" x14ac:dyDescent="0.25">
      <c r="A32" s="1" t="s">
        <v>72</v>
      </c>
      <c r="B32" t="s">
        <v>73</v>
      </c>
      <c r="C32" s="3" t="s">
        <v>33</v>
      </c>
      <c r="D32" s="3" t="s">
        <v>34</v>
      </c>
      <c r="E32" s="3" t="s">
        <v>35</v>
      </c>
      <c r="F32">
        <f>223+30</f>
        <v>253</v>
      </c>
      <c r="G32">
        <v>384</v>
      </c>
      <c r="H32" s="13">
        <v>65.885416666666657</v>
      </c>
      <c r="I32" s="13">
        <f>225+33</f>
        <v>258</v>
      </c>
      <c r="J32" s="13">
        <v>427</v>
      </c>
      <c r="K32" s="13">
        <v>63.03</v>
      </c>
      <c r="L32" s="13">
        <v>60.421545667447305</v>
      </c>
      <c r="M32" s="13">
        <f>192+34</f>
        <v>226</v>
      </c>
      <c r="N32" s="13">
        <v>414</v>
      </c>
      <c r="O32" s="13">
        <v>54.589371980676326</v>
      </c>
      <c r="P32">
        <f t="shared" si="0"/>
        <v>737</v>
      </c>
      <c r="Q32">
        <f t="shared" si="0"/>
        <v>1225</v>
      </c>
      <c r="R32" s="14">
        <f t="shared" si="1"/>
        <v>60.163265306122447</v>
      </c>
      <c r="S32">
        <v>60.2</v>
      </c>
      <c r="T32" s="14">
        <f t="shared" si="2"/>
        <v>3.6734693877555458E-2</v>
      </c>
      <c r="U32" s="15" t="str">
        <f t="shared" si="3"/>
        <v>No</v>
      </c>
      <c r="V32" s="19" t="str">
        <f t="shared" si="4"/>
        <v>Yes</v>
      </c>
      <c r="W32" s="19" t="str">
        <f t="shared" si="5"/>
        <v>Yes</v>
      </c>
      <c r="X32" s="15" t="str">
        <f t="shared" si="6"/>
        <v>No</v>
      </c>
      <c r="Z32" s="18">
        <f t="shared" si="7"/>
        <v>-2.8554166666666561</v>
      </c>
    </row>
    <row r="33" spans="1:26" x14ac:dyDescent="0.25">
      <c r="A33" s="1" t="s">
        <v>74</v>
      </c>
      <c r="B33" t="s">
        <v>75</v>
      </c>
      <c r="C33" s="3" t="s">
        <v>33</v>
      </c>
      <c r="D33" s="3" t="s">
        <v>34</v>
      </c>
      <c r="E33" s="3" t="s">
        <v>71</v>
      </c>
      <c r="F33">
        <v>59</v>
      </c>
      <c r="G33">
        <v>1796</v>
      </c>
      <c r="H33" s="13">
        <v>3.285077951002227</v>
      </c>
      <c r="I33" s="13">
        <v>133</v>
      </c>
      <c r="J33" s="13">
        <v>3589</v>
      </c>
      <c r="K33" s="13">
        <v>2.1800000000000002</v>
      </c>
      <c r="L33" s="13">
        <v>3.7057676232933963</v>
      </c>
      <c r="M33" s="13">
        <v>28</v>
      </c>
      <c r="N33" s="13">
        <v>758</v>
      </c>
      <c r="O33" s="13">
        <v>3.6939313984168867</v>
      </c>
      <c r="P33">
        <f t="shared" si="0"/>
        <v>220</v>
      </c>
      <c r="Q33">
        <f t="shared" si="0"/>
        <v>6143</v>
      </c>
      <c r="R33" s="14">
        <f t="shared" si="1"/>
        <v>3.5813120625101744</v>
      </c>
      <c r="S33">
        <v>3.8</v>
      </c>
      <c r="T33" s="14">
        <f t="shared" si="2"/>
        <v>0.2186879374898254</v>
      </c>
      <c r="U33" s="15" t="str">
        <f t="shared" si="3"/>
        <v>No</v>
      </c>
      <c r="V33" s="15" t="str">
        <f t="shared" si="4"/>
        <v>No</v>
      </c>
      <c r="W33" s="15" t="str">
        <f t="shared" si="5"/>
        <v>No</v>
      </c>
      <c r="X33" s="15" t="str">
        <f t="shared" si="6"/>
        <v>No</v>
      </c>
      <c r="Z33" s="18">
        <f t="shared" si="7"/>
        <v>-1.1050779510022268</v>
      </c>
    </row>
    <row r="34" spans="1:26" x14ac:dyDescent="0.25">
      <c r="A34" s="1" t="s">
        <v>76</v>
      </c>
      <c r="B34" t="s">
        <v>77</v>
      </c>
      <c r="C34" s="3" t="s">
        <v>33</v>
      </c>
      <c r="D34" s="3" t="s">
        <v>34</v>
      </c>
      <c r="E34" s="3" t="s">
        <v>71</v>
      </c>
      <c r="F34">
        <v>253</v>
      </c>
      <c r="G34">
        <v>911</v>
      </c>
      <c r="H34" s="13">
        <v>27.771679473106474</v>
      </c>
      <c r="I34" s="13">
        <v>536</v>
      </c>
      <c r="J34" s="13">
        <v>1832</v>
      </c>
      <c r="K34" s="13">
        <v>28.56</v>
      </c>
      <c r="L34" s="13">
        <v>29.257641921397383</v>
      </c>
      <c r="M34" s="13">
        <v>126</v>
      </c>
      <c r="N34" s="13">
        <v>382</v>
      </c>
      <c r="O34" s="13">
        <v>32.984293193717278</v>
      </c>
      <c r="P34">
        <f t="shared" si="0"/>
        <v>915</v>
      </c>
      <c r="Q34">
        <f t="shared" si="0"/>
        <v>3125</v>
      </c>
      <c r="R34" s="14">
        <f t="shared" si="1"/>
        <v>29.28</v>
      </c>
      <c r="S34">
        <v>51.2</v>
      </c>
      <c r="T34" s="14">
        <f t="shared" si="2"/>
        <v>21.92</v>
      </c>
      <c r="U34" s="15" t="str">
        <f t="shared" si="3"/>
        <v>No</v>
      </c>
      <c r="V34" s="17" t="str">
        <f t="shared" si="4"/>
        <v>No</v>
      </c>
      <c r="W34" s="15" t="str">
        <f t="shared" si="5"/>
        <v>No</v>
      </c>
      <c r="X34" s="15" t="str">
        <f t="shared" si="6"/>
        <v>No</v>
      </c>
      <c r="Z34" s="18">
        <f t="shared" si="7"/>
        <v>0.78832052689352494</v>
      </c>
    </row>
    <row r="35" spans="1:26" x14ac:dyDescent="0.25">
      <c r="B35" t="s">
        <v>78</v>
      </c>
      <c r="C35" s="3" t="s">
        <v>33</v>
      </c>
      <c r="D35" s="3" t="s">
        <v>34</v>
      </c>
      <c r="E35" s="3" t="s">
        <v>71</v>
      </c>
      <c r="F35">
        <v>218</v>
      </c>
      <c r="G35">
        <v>447</v>
      </c>
      <c r="H35" s="13">
        <v>48.769574944071586</v>
      </c>
      <c r="I35" s="13">
        <v>312</v>
      </c>
      <c r="J35" s="13">
        <v>743</v>
      </c>
      <c r="K35" s="13">
        <v>45.69</v>
      </c>
      <c r="L35" s="13">
        <v>41.991924629878866</v>
      </c>
      <c r="M35" s="13">
        <v>57</v>
      </c>
      <c r="N35" s="13">
        <v>137</v>
      </c>
      <c r="O35" s="13">
        <v>41.605839416058394</v>
      </c>
      <c r="P35">
        <f t="shared" ref="P35:Q66" si="8">F35+I35+M35</f>
        <v>587</v>
      </c>
      <c r="Q35">
        <f t="shared" si="8"/>
        <v>1327</v>
      </c>
      <c r="R35" s="14">
        <f t="shared" si="1"/>
        <v>44.235116804822908</v>
      </c>
      <c r="S35">
        <v>60.1</v>
      </c>
      <c r="T35" s="14">
        <f t="shared" si="2"/>
        <v>15.864883195177093</v>
      </c>
      <c r="U35" s="15" t="str">
        <f t="shared" si="3"/>
        <v>No</v>
      </c>
      <c r="V35" s="17" t="str">
        <f t="shared" si="4"/>
        <v>No</v>
      </c>
      <c r="W35" s="15" t="str">
        <f t="shared" si="5"/>
        <v>No</v>
      </c>
      <c r="X35" s="15" t="str">
        <f t="shared" si="6"/>
        <v>No</v>
      </c>
      <c r="Z35" s="18">
        <f t="shared" si="7"/>
        <v>-3.079574944071588</v>
      </c>
    </row>
    <row r="36" spans="1:26" ht="15.75" thickBot="1" x14ac:dyDescent="0.3">
      <c r="B36" t="s">
        <v>79</v>
      </c>
      <c r="C36" s="3" t="s">
        <v>33</v>
      </c>
      <c r="D36" s="3" t="s">
        <v>34</v>
      </c>
      <c r="E36" s="3" t="s">
        <v>71</v>
      </c>
      <c r="F36">
        <v>471</v>
      </c>
      <c r="G36">
        <v>1358</v>
      </c>
      <c r="H36" s="13">
        <v>34.683357879234165</v>
      </c>
      <c r="I36" s="13">
        <v>848</v>
      </c>
      <c r="J36" s="13">
        <v>2575</v>
      </c>
      <c r="K36" s="13">
        <v>34.35</v>
      </c>
      <c r="L36" s="13">
        <v>32.932038834951456</v>
      </c>
      <c r="M36" s="13">
        <v>183</v>
      </c>
      <c r="N36" s="13">
        <v>519</v>
      </c>
      <c r="O36" s="13">
        <v>35.260115606936417</v>
      </c>
      <c r="P36">
        <f t="shared" si="8"/>
        <v>1502</v>
      </c>
      <c r="Q36">
        <f t="shared" si="8"/>
        <v>4452</v>
      </c>
      <c r="R36" s="14">
        <f t="shared" si="1"/>
        <v>33.737646001796946</v>
      </c>
      <c r="S36">
        <v>54.6</v>
      </c>
      <c r="T36" s="14">
        <f t="shared" si="2"/>
        <v>20.862353998203055</v>
      </c>
      <c r="U36" s="15" t="str">
        <f t="shared" si="3"/>
        <v>No</v>
      </c>
      <c r="V36" s="17" t="str">
        <f t="shared" si="4"/>
        <v>No</v>
      </c>
      <c r="W36" s="15" t="str">
        <f t="shared" si="5"/>
        <v>No</v>
      </c>
      <c r="X36" s="15" t="str">
        <f t="shared" si="6"/>
        <v>No</v>
      </c>
      <c r="Z36" s="18">
        <f t="shared" si="7"/>
        <v>-0.33335787923416405</v>
      </c>
    </row>
    <row r="37" spans="1:26" ht="16.5" thickTop="1" thickBot="1" x14ac:dyDescent="0.3">
      <c r="A37" s="1" t="s">
        <v>80</v>
      </c>
      <c r="B37" s="20" t="s">
        <v>81</v>
      </c>
      <c r="C37" s="3" t="s">
        <v>82</v>
      </c>
      <c r="D37" s="3" t="s">
        <v>83</v>
      </c>
      <c r="E37" s="3" t="s">
        <v>71</v>
      </c>
      <c r="F37">
        <v>1073</v>
      </c>
      <c r="G37">
        <v>1461</v>
      </c>
      <c r="H37" s="13">
        <v>73.442847364818618</v>
      </c>
      <c r="I37" s="13" t="s">
        <v>84</v>
      </c>
      <c r="J37" s="13" t="s">
        <v>84</v>
      </c>
      <c r="K37" s="13">
        <v>76.33</v>
      </c>
      <c r="L37" s="13" t="e">
        <v>#VALUE!</v>
      </c>
      <c r="M37" s="13">
        <v>311</v>
      </c>
      <c r="N37" s="13">
        <v>761</v>
      </c>
      <c r="O37" s="13">
        <v>40.867279894875161</v>
      </c>
      <c r="P37" s="21" t="e">
        <f t="shared" si="8"/>
        <v>#VALUE!</v>
      </c>
      <c r="Q37" s="21" t="e">
        <f t="shared" si="8"/>
        <v>#VALUE!</v>
      </c>
      <c r="R37" s="22" t="e">
        <f t="shared" si="1"/>
        <v>#VALUE!</v>
      </c>
      <c r="S37">
        <v>69.5</v>
      </c>
      <c r="T37" s="14" t="e">
        <f t="shared" si="2"/>
        <v>#VALUE!</v>
      </c>
      <c r="U37" s="23" t="e">
        <f t="shared" si="3"/>
        <v>#VALUE!</v>
      </c>
      <c r="V37" s="16" t="str">
        <f t="shared" si="4"/>
        <v>Yes</v>
      </c>
      <c r="W37" s="23" t="e">
        <f t="shared" si="5"/>
        <v>#VALUE!</v>
      </c>
      <c r="X37" s="15" t="str">
        <f t="shared" si="6"/>
        <v>No</v>
      </c>
      <c r="Z37" s="18">
        <f t="shared" si="7"/>
        <v>2.8871526351813799</v>
      </c>
    </row>
    <row r="38" spans="1:26" ht="16.5" thickTop="1" thickBot="1" x14ac:dyDescent="0.3">
      <c r="A38" s="1" t="s">
        <v>85</v>
      </c>
      <c r="B38" s="20" t="s">
        <v>86</v>
      </c>
      <c r="C38" s="3" t="s">
        <v>82</v>
      </c>
      <c r="D38" s="3" t="s">
        <v>83</v>
      </c>
      <c r="E38" s="3" t="s">
        <v>71</v>
      </c>
      <c r="F38" s="3">
        <v>468</v>
      </c>
      <c r="G38" s="3">
        <v>3911</v>
      </c>
      <c r="H38" s="13">
        <v>11.966249041165943</v>
      </c>
      <c r="I38" s="13" t="s">
        <v>84</v>
      </c>
      <c r="J38" s="13" t="s">
        <v>84</v>
      </c>
      <c r="K38" s="13">
        <v>89.11</v>
      </c>
      <c r="L38" s="13" t="e">
        <v>#VALUE!</v>
      </c>
      <c r="M38" s="13">
        <v>601</v>
      </c>
      <c r="N38" s="13">
        <v>2327</v>
      </c>
      <c r="O38" s="13">
        <v>25.827245380318004</v>
      </c>
      <c r="P38" s="21" t="e">
        <f t="shared" si="8"/>
        <v>#VALUE!</v>
      </c>
      <c r="Q38" s="21" t="e">
        <f t="shared" si="8"/>
        <v>#VALUE!</v>
      </c>
      <c r="R38" s="22" t="e">
        <f>(1-(P38/Q38))*100</f>
        <v>#VALUE!</v>
      </c>
      <c r="S38">
        <v>87</v>
      </c>
      <c r="T38" s="14" t="e">
        <f t="shared" si="2"/>
        <v>#VALUE!</v>
      </c>
      <c r="U38" s="23" t="e">
        <f t="shared" si="3"/>
        <v>#VALUE!</v>
      </c>
      <c r="V38" s="17" t="str">
        <f t="shared" si="4"/>
        <v>No</v>
      </c>
      <c r="W38" s="23" t="e">
        <f t="shared" si="5"/>
        <v>#VALUE!</v>
      </c>
      <c r="X38" s="15" t="str">
        <f t="shared" si="6"/>
        <v>No</v>
      </c>
      <c r="Z38" s="18">
        <f t="shared" si="7"/>
        <v>77.143750958834062</v>
      </c>
    </row>
    <row r="39" spans="1:26" ht="16.5" thickTop="1" thickBot="1" x14ac:dyDescent="0.3">
      <c r="A39" s="1" t="s">
        <v>87</v>
      </c>
      <c r="B39" s="20" t="s">
        <v>88</v>
      </c>
      <c r="C39" s="3" t="s">
        <v>82</v>
      </c>
      <c r="D39" s="3" t="s">
        <v>83</v>
      </c>
      <c r="E39" s="3" t="s">
        <v>71</v>
      </c>
      <c r="F39">
        <v>198</v>
      </c>
      <c r="G39">
        <v>248</v>
      </c>
      <c r="H39" s="13">
        <v>79.838709677419345</v>
      </c>
      <c r="I39" s="13" t="s">
        <v>84</v>
      </c>
      <c r="J39" s="13" t="s">
        <v>84</v>
      </c>
      <c r="K39" s="13">
        <v>17.47</v>
      </c>
      <c r="L39" s="13" t="e">
        <v>#VALUE!</v>
      </c>
      <c r="M39" s="13">
        <v>83</v>
      </c>
      <c r="N39" s="13">
        <v>109</v>
      </c>
      <c r="O39" s="13">
        <v>76.146788990825684</v>
      </c>
      <c r="P39" s="21" t="e">
        <f t="shared" si="8"/>
        <v>#VALUE!</v>
      </c>
      <c r="Q39" s="21" t="e">
        <f t="shared" si="8"/>
        <v>#VALUE!</v>
      </c>
      <c r="R39" s="22" t="e">
        <f>(1-(P39/Q39))*100</f>
        <v>#VALUE!</v>
      </c>
      <c r="S39">
        <v>28.5</v>
      </c>
      <c r="T39" s="14" t="e">
        <f t="shared" si="2"/>
        <v>#VALUE!</v>
      </c>
      <c r="U39" s="23" t="e">
        <f t="shared" si="3"/>
        <v>#VALUE!</v>
      </c>
      <c r="V39" s="16" t="str">
        <f t="shared" si="4"/>
        <v>Yes</v>
      </c>
      <c r="W39" s="23" t="e">
        <f t="shared" si="5"/>
        <v>#VALUE!</v>
      </c>
      <c r="X39" s="16" t="str">
        <f t="shared" si="6"/>
        <v>Yes</v>
      </c>
      <c r="Z39" s="18">
        <f t="shared" si="7"/>
        <v>-62.368709677419346</v>
      </c>
    </row>
    <row r="40" spans="1:26" ht="16.5" thickTop="1" thickBot="1" x14ac:dyDescent="0.3">
      <c r="A40" s="1" t="s">
        <v>89</v>
      </c>
      <c r="B40" s="20" t="s">
        <v>90</v>
      </c>
      <c r="C40" s="3" t="s">
        <v>82</v>
      </c>
      <c r="D40" s="3" t="s">
        <v>83</v>
      </c>
      <c r="E40" s="3" t="s">
        <v>71</v>
      </c>
      <c r="F40">
        <v>36</v>
      </c>
      <c r="G40">
        <v>106</v>
      </c>
      <c r="H40" s="13">
        <v>33.962264150943398</v>
      </c>
      <c r="I40" s="13">
        <v>19</v>
      </c>
      <c r="J40" s="13">
        <v>65</v>
      </c>
      <c r="K40" s="13">
        <v>34.380000000000003</v>
      </c>
      <c r="L40" s="13">
        <v>29.230769230769234</v>
      </c>
      <c r="M40" s="13">
        <v>0</v>
      </c>
      <c r="N40" s="13">
        <v>2</v>
      </c>
      <c r="O40" s="13">
        <v>0</v>
      </c>
      <c r="P40">
        <f t="shared" si="8"/>
        <v>55</v>
      </c>
      <c r="Q40">
        <f t="shared" si="8"/>
        <v>173</v>
      </c>
      <c r="R40" s="14">
        <f t="shared" ref="R40:R72" si="9">P40/Q40*100</f>
        <v>31.79190751445087</v>
      </c>
      <c r="S40">
        <v>31</v>
      </c>
      <c r="T40" s="14">
        <f t="shared" si="2"/>
        <v>-0.7919075144508696</v>
      </c>
      <c r="U40" s="16" t="str">
        <f t="shared" si="3"/>
        <v>Yes</v>
      </c>
      <c r="V40" s="16" t="str">
        <f t="shared" si="4"/>
        <v>Yes</v>
      </c>
      <c r="W40" s="17" t="str">
        <f t="shared" si="5"/>
        <v>No</v>
      </c>
      <c r="X40" s="23" t="str">
        <f t="shared" si="6"/>
        <v>No</v>
      </c>
      <c r="Z40" s="18">
        <f t="shared" si="7"/>
        <v>0.41773584905660499</v>
      </c>
    </row>
    <row r="41" spans="1:26" ht="16.5" thickTop="1" thickBot="1" x14ac:dyDescent="0.3">
      <c r="A41" s="1" t="s">
        <v>91</v>
      </c>
      <c r="B41" s="20" t="s">
        <v>92</v>
      </c>
      <c r="C41" s="3" t="s">
        <v>82</v>
      </c>
      <c r="D41" s="3" t="s">
        <v>83</v>
      </c>
      <c r="E41" s="3" t="s">
        <v>71</v>
      </c>
      <c r="F41">
        <v>135</v>
      </c>
      <c r="G41">
        <v>170</v>
      </c>
      <c r="H41" s="13">
        <v>79.411764705882348</v>
      </c>
      <c r="I41" s="13" t="s">
        <v>84</v>
      </c>
      <c r="J41" s="13" t="s">
        <v>84</v>
      </c>
      <c r="K41" s="13">
        <v>73.62</v>
      </c>
      <c r="L41" s="13" t="e">
        <v>#VALUE!</v>
      </c>
      <c r="M41" s="13">
        <v>21</v>
      </c>
      <c r="N41" s="13">
        <v>35</v>
      </c>
      <c r="O41" s="13">
        <v>60</v>
      </c>
      <c r="P41" s="21" t="e">
        <f t="shared" si="8"/>
        <v>#VALUE!</v>
      </c>
      <c r="Q41" s="21" t="e">
        <f t="shared" si="8"/>
        <v>#VALUE!</v>
      </c>
      <c r="R41" s="22" t="e">
        <f t="shared" si="9"/>
        <v>#VALUE!</v>
      </c>
      <c r="S41">
        <v>65.3</v>
      </c>
      <c r="T41" s="14" t="e">
        <f t="shared" si="2"/>
        <v>#VALUE!</v>
      </c>
      <c r="U41" s="23" t="e">
        <f t="shared" si="3"/>
        <v>#VALUE!</v>
      </c>
      <c r="V41" s="19" t="str">
        <f t="shared" si="4"/>
        <v>Yes</v>
      </c>
      <c r="W41" s="23" t="e">
        <f t="shared" si="5"/>
        <v>#VALUE!</v>
      </c>
      <c r="X41" s="15" t="str">
        <f t="shared" si="6"/>
        <v>No</v>
      </c>
      <c r="Z41" s="18">
        <f t="shared" si="7"/>
        <v>-5.7917647058823434</v>
      </c>
    </row>
    <row r="42" spans="1:26" ht="16.5" thickTop="1" thickBot="1" x14ac:dyDescent="0.3">
      <c r="B42" s="20" t="s">
        <v>93</v>
      </c>
      <c r="C42" s="3" t="s">
        <v>82</v>
      </c>
      <c r="D42" s="3" t="s">
        <v>83</v>
      </c>
      <c r="E42" s="3" t="s">
        <v>71</v>
      </c>
      <c r="F42">
        <v>148</v>
      </c>
      <c r="G42">
        <v>170</v>
      </c>
      <c r="H42" s="13">
        <v>87.058823529411768</v>
      </c>
      <c r="I42" s="13" t="s">
        <v>84</v>
      </c>
      <c r="J42" s="13" t="s">
        <v>84</v>
      </c>
      <c r="K42" s="13">
        <v>90.18</v>
      </c>
      <c r="L42" s="13" t="e">
        <v>#VALUE!</v>
      </c>
      <c r="M42" s="13">
        <v>28</v>
      </c>
      <c r="N42" s="13">
        <v>35</v>
      </c>
      <c r="O42" s="13">
        <v>80</v>
      </c>
      <c r="P42" s="21" t="e">
        <f t="shared" si="8"/>
        <v>#VALUE!</v>
      </c>
      <c r="Q42" s="21" t="e">
        <f t="shared" si="8"/>
        <v>#VALUE!</v>
      </c>
      <c r="R42" s="22" t="e">
        <f t="shared" si="9"/>
        <v>#VALUE!</v>
      </c>
      <c r="S42">
        <v>79</v>
      </c>
      <c r="T42" s="14" t="e">
        <f t="shared" si="2"/>
        <v>#VALUE!</v>
      </c>
      <c r="U42" s="23" t="e">
        <f t="shared" si="3"/>
        <v>#VALUE!</v>
      </c>
      <c r="V42" s="16" t="str">
        <f t="shared" si="4"/>
        <v>Yes</v>
      </c>
      <c r="W42" s="23" t="e">
        <f t="shared" si="5"/>
        <v>#VALUE!</v>
      </c>
      <c r="X42" s="16" t="str">
        <f t="shared" si="6"/>
        <v>Yes</v>
      </c>
      <c r="Z42" s="18">
        <f t="shared" si="7"/>
        <v>3.1211764705882388</v>
      </c>
    </row>
    <row r="43" spans="1:26" ht="16.5" thickTop="1" thickBot="1" x14ac:dyDescent="0.3">
      <c r="A43" s="1" t="s">
        <v>94</v>
      </c>
      <c r="B43" s="20" t="s">
        <v>95</v>
      </c>
      <c r="C43" s="3" t="s">
        <v>82</v>
      </c>
      <c r="D43" s="3" t="s">
        <v>83</v>
      </c>
      <c r="E43" s="3" t="s">
        <v>71</v>
      </c>
      <c r="F43">
        <v>430</v>
      </c>
      <c r="G43">
        <v>454</v>
      </c>
      <c r="H43" s="13">
        <v>94.713656387665196</v>
      </c>
      <c r="I43" s="13" t="s">
        <v>84</v>
      </c>
      <c r="J43" s="13" t="s">
        <v>84</v>
      </c>
      <c r="K43" s="13" t="s">
        <v>54</v>
      </c>
      <c r="L43" s="13" t="e">
        <v>#VALUE!</v>
      </c>
      <c r="M43" s="13">
        <v>1</v>
      </c>
      <c r="N43" s="13">
        <v>2</v>
      </c>
      <c r="O43" s="13">
        <v>50</v>
      </c>
      <c r="P43" s="21" t="e">
        <f t="shared" si="8"/>
        <v>#VALUE!</v>
      </c>
      <c r="Q43" s="21" t="e">
        <f t="shared" si="8"/>
        <v>#VALUE!</v>
      </c>
      <c r="R43" s="22" t="e">
        <f t="shared" si="9"/>
        <v>#VALUE!</v>
      </c>
      <c r="S43" t="s">
        <v>54</v>
      </c>
      <c r="T43" s="14" t="e">
        <f t="shared" si="2"/>
        <v>#VALUE!</v>
      </c>
      <c r="U43" s="23" t="e">
        <f t="shared" si="3"/>
        <v>#VALUE!</v>
      </c>
      <c r="V43" s="17" t="str">
        <f t="shared" si="4"/>
        <v>No</v>
      </c>
      <c r="W43" s="23" t="e">
        <f t="shared" si="5"/>
        <v>#VALUE!</v>
      </c>
      <c r="X43" s="23" t="str">
        <f t="shared" si="6"/>
        <v>No</v>
      </c>
      <c r="Z43" s="18" t="e">
        <f t="shared" si="7"/>
        <v>#VALUE!</v>
      </c>
    </row>
    <row r="44" spans="1:26" ht="16.5" thickTop="1" thickBot="1" x14ac:dyDescent="0.3">
      <c r="B44" s="20" t="s">
        <v>96</v>
      </c>
      <c r="C44" s="3" t="s">
        <v>82</v>
      </c>
      <c r="D44" s="3" t="s">
        <v>83</v>
      </c>
      <c r="E44" s="3" t="s">
        <v>71</v>
      </c>
      <c r="F44">
        <v>307</v>
      </c>
      <c r="G44">
        <v>327</v>
      </c>
      <c r="H44" s="13">
        <v>93.883792048929664</v>
      </c>
      <c r="I44" s="13" t="s">
        <v>84</v>
      </c>
      <c r="J44" s="13" t="s">
        <v>84</v>
      </c>
      <c r="K44" s="13" t="s">
        <v>54</v>
      </c>
      <c r="L44" s="13" t="e">
        <v>#VALUE!</v>
      </c>
      <c r="M44" s="13">
        <v>4</v>
      </c>
      <c r="N44" s="13">
        <v>5</v>
      </c>
      <c r="O44" s="13">
        <v>80</v>
      </c>
      <c r="P44" s="21" t="e">
        <f t="shared" si="8"/>
        <v>#VALUE!</v>
      </c>
      <c r="Q44" s="21" t="e">
        <f t="shared" si="8"/>
        <v>#VALUE!</v>
      </c>
      <c r="R44" s="22" t="e">
        <f t="shared" si="9"/>
        <v>#VALUE!</v>
      </c>
      <c r="S44" t="s">
        <v>54</v>
      </c>
      <c r="T44" s="14" t="e">
        <f t="shared" si="2"/>
        <v>#VALUE!</v>
      </c>
      <c r="U44" s="23" t="e">
        <f t="shared" si="3"/>
        <v>#VALUE!</v>
      </c>
      <c r="V44" s="17" t="str">
        <f t="shared" si="4"/>
        <v>No</v>
      </c>
      <c r="W44" s="23" t="e">
        <f t="shared" si="5"/>
        <v>#VALUE!</v>
      </c>
      <c r="X44" s="23" t="str">
        <f t="shared" si="6"/>
        <v>No</v>
      </c>
      <c r="Z44" s="18" t="e">
        <f t="shared" si="7"/>
        <v>#VALUE!</v>
      </c>
    </row>
    <row r="45" spans="1:26" ht="16.5" thickTop="1" thickBot="1" x14ac:dyDescent="0.3">
      <c r="B45" s="20" t="s">
        <v>97</v>
      </c>
      <c r="C45" s="3" t="s">
        <v>82</v>
      </c>
      <c r="D45" s="3" t="s">
        <v>83</v>
      </c>
      <c r="E45" s="3" t="s">
        <v>71</v>
      </c>
      <c r="F45">
        <v>85</v>
      </c>
      <c r="G45">
        <v>109</v>
      </c>
      <c r="H45" s="13">
        <v>77.981651376146786</v>
      </c>
      <c r="I45" s="13" t="s">
        <v>84</v>
      </c>
      <c r="J45" s="13" t="s">
        <v>84</v>
      </c>
      <c r="K45" s="13" t="s">
        <v>54</v>
      </c>
      <c r="L45" s="13" t="e">
        <v>#VALUE!</v>
      </c>
      <c r="M45" s="13">
        <v>3</v>
      </c>
      <c r="N45" s="13">
        <v>3</v>
      </c>
      <c r="O45" s="13">
        <v>100</v>
      </c>
      <c r="P45" s="21" t="e">
        <f t="shared" si="8"/>
        <v>#VALUE!</v>
      </c>
      <c r="Q45" s="21" t="e">
        <f t="shared" si="8"/>
        <v>#VALUE!</v>
      </c>
      <c r="R45" s="22" t="e">
        <f t="shared" si="9"/>
        <v>#VALUE!</v>
      </c>
      <c r="S45" t="s">
        <v>54</v>
      </c>
      <c r="T45" s="14" t="e">
        <f t="shared" si="2"/>
        <v>#VALUE!</v>
      </c>
      <c r="U45" s="23" t="e">
        <f t="shared" si="3"/>
        <v>#VALUE!</v>
      </c>
      <c r="V45" s="17" t="str">
        <f t="shared" si="4"/>
        <v>No</v>
      </c>
      <c r="W45" s="23" t="e">
        <f t="shared" si="5"/>
        <v>#VALUE!</v>
      </c>
      <c r="X45" s="23" t="str">
        <f t="shared" si="6"/>
        <v>No</v>
      </c>
      <c r="Z45" s="18" t="e">
        <f t="shared" si="7"/>
        <v>#VALUE!</v>
      </c>
    </row>
    <row r="46" spans="1:26" ht="16.5" thickTop="1" thickBot="1" x14ac:dyDescent="0.3">
      <c r="B46" s="20" t="s">
        <v>98</v>
      </c>
      <c r="C46" s="3" t="s">
        <v>82</v>
      </c>
      <c r="D46" s="3" t="s">
        <v>83</v>
      </c>
      <c r="E46" s="3" t="s">
        <v>71</v>
      </c>
      <c r="F46">
        <v>21</v>
      </c>
      <c r="G46">
        <v>35</v>
      </c>
      <c r="H46" s="13">
        <v>60</v>
      </c>
      <c r="I46" s="13" t="s">
        <v>84</v>
      </c>
      <c r="J46" s="13" t="s">
        <v>84</v>
      </c>
      <c r="K46" s="13" t="s">
        <v>54</v>
      </c>
      <c r="L46" s="13" t="e">
        <v>#VALUE!</v>
      </c>
      <c r="M46" s="13">
        <v>0</v>
      </c>
      <c r="N46" s="13">
        <v>0</v>
      </c>
      <c r="O46" s="13" t="e">
        <v>#DIV/0!</v>
      </c>
      <c r="P46" s="21" t="e">
        <f t="shared" si="8"/>
        <v>#VALUE!</v>
      </c>
      <c r="Q46" s="21" t="e">
        <f t="shared" si="8"/>
        <v>#VALUE!</v>
      </c>
      <c r="R46" s="22" t="e">
        <f t="shared" si="9"/>
        <v>#VALUE!</v>
      </c>
      <c r="S46" t="s">
        <v>54</v>
      </c>
      <c r="T46" s="14" t="e">
        <f t="shared" si="2"/>
        <v>#VALUE!</v>
      </c>
      <c r="U46" s="23" t="e">
        <f t="shared" si="3"/>
        <v>#VALUE!</v>
      </c>
      <c r="V46" s="17" t="str">
        <f t="shared" si="4"/>
        <v>No</v>
      </c>
      <c r="W46" s="23" t="e">
        <f t="shared" si="5"/>
        <v>#VALUE!</v>
      </c>
      <c r="X46" s="23" t="e">
        <f t="shared" si="6"/>
        <v>#DIV/0!</v>
      </c>
      <c r="Z46" s="18" t="e">
        <f t="shared" si="7"/>
        <v>#VALUE!</v>
      </c>
    </row>
    <row r="47" spans="1:26" ht="16.5" thickTop="1" thickBot="1" x14ac:dyDescent="0.3">
      <c r="B47" s="20" t="s">
        <v>99</v>
      </c>
      <c r="C47" s="3" t="s">
        <v>82</v>
      </c>
      <c r="D47" s="3" t="s">
        <v>83</v>
      </c>
      <c r="E47" s="3" t="s">
        <v>71</v>
      </c>
      <c r="F47">
        <v>843</v>
      </c>
      <c r="G47">
        <v>925</v>
      </c>
      <c r="H47" s="13">
        <v>91.13513513513513</v>
      </c>
      <c r="I47" s="13" t="s">
        <v>84</v>
      </c>
      <c r="J47" s="13" t="s">
        <v>84</v>
      </c>
      <c r="K47" s="13" t="s">
        <v>54</v>
      </c>
      <c r="L47" s="13" t="e">
        <v>#VALUE!</v>
      </c>
      <c r="M47" s="13">
        <v>8</v>
      </c>
      <c r="N47" s="13">
        <v>10</v>
      </c>
      <c r="O47" s="13">
        <v>80</v>
      </c>
      <c r="P47" s="21" t="e">
        <f t="shared" si="8"/>
        <v>#VALUE!</v>
      </c>
      <c r="Q47" s="21" t="e">
        <f t="shared" si="8"/>
        <v>#VALUE!</v>
      </c>
      <c r="R47" s="22" t="e">
        <f t="shared" si="9"/>
        <v>#VALUE!</v>
      </c>
      <c r="S47" t="s">
        <v>54</v>
      </c>
      <c r="T47" s="14" t="e">
        <f t="shared" si="2"/>
        <v>#VALUE!</v>
      </c>
      <c r="U47" s="23" t="e">
        <f t="shared" si="3"/>
        <v>#VALUE!</v>
      </c>
      <c r="V47" s="17" t="str">
        <f t="shared" si="4"/>
        <v>No</v>
      </c>
      <c r="W47" s="23" t="e">
        <f t="shared" si="5"/>
        <v>#VALUE!</v>
      </c>
      <c r="X47" s="23" t="str">
        <f t="shared" si="6"/>
        <v>No</v>
      </c>
      <c r="Z47" s="18" t="e">
        <f t="shared" si="7"/>
        <v>#VALUE!</v>
      </c>
    </row>
    <row r="48" spans="1:26" ht="16.5" thickTop="1" thickBot="1" x14ac:dyDescent="0.3">
      <c r="A48" s="1" t="s">
        <v>100</v>
      </c>
      <c r="B48" s="20" t="s">
        <v>101</v>
      </c>
      <c r="C48" s="3" t="s">
        <v>82</v>
      </c>
      <c r="D48" s="3" t="s">
        <v>83</v>
      </c>
      <c r="E48" s="3" t="s">
        <v>71</v>
      </c>
      <c r="F48">
        <v>256</v>
      </c>
      <c r="G48">
        <v>430</v>
      </c>
      <c r="H48" s="13">
        <v>59.534883720930232</v>
      </c>
      <c r="I48" s="13" t="s">
        <v>84</v>
      </c>
      <c r="J48" s="13" t="s">
        <v>84</v>
      </c>
      <c r="K48" s="13">
        <v>67.97</v>
      </c>
      <c r="L48" s="13" t="e">
        <v>#VALUE!</v>
      </c>
      <c r="M48" s="13">
        <v>0</v>
      </c>
      <c r="N48" s="13">
        <v>0</v>
      </c>
      <c r="O48" s="13" t="e">
        <v>#DIV/0!</v>
      </c>
      <c r="P48" s="21" t="e">
        <f t="shared" si="8"/>
        <v>#VALUE!</v>
      </c>
      <c r="Q48" s="21" t="e">
        <f t="shared" si="8"/>
        <v>#VALUE!</v>
      </c>
      <c r="R48" s="22" t="e">
        <f t="shared" si="9"/>
        <v>#VALUE!</v>
      </c>
      <c r="S48" t="s">
        <v>54</v>
      </c>
      <c r="T48" s="14" t="e">
        <f t="shared" si="2"/>
        <v>#VALUE!</v>
      </c>
      <c r="U48" s="23" t="e">
        <f t="shared" si="3"/>
        <v>#VALUE!</v>
      </c>
      <c r="V48" s="17" t="str">
        <f t="shared" si="4"/>
        <v>No</v>
      </c>
      <c r="W48" s="23" t="e">
        <f t="shared" si="5"/>
        <v>#VALUE!</v>
      </c>
      <c r="X48" s="23" t="e">
        <f t="shared" si="6"/>
        <v>#DIV/0!</v>
      </c>
      <c r="Z48" s="18">
        <f t="shared" si="7"/>
        <v>8.4351162790697671</v>
      </c>
    </row>
    <row r="49" spans="1:26" ht="16.5" thickTop="1" thickBot="1" x14ac:dyDescent="0.3">
      <c r="B49" s="20" t="s">
        <v>102</v>
      </c>
      <c r="C49" s="3" t="s">
        <v>82</v>
      </c>
      <c r="D49" s="3" t="s">
        <v>83</v>
      </c>
      <c r="E49" s="3" t="s">
        <v>71</v>
      </c>
      <c r="F49">
        <v>134</v>
      </c>
      <c r="G49">
        <v>430</v>
      </c>
      <c r="H49" s="13">
        <v>31.162790697674421</v>
      </c>
      <c r="I49" s="13" t="s">
        <v>84</v>
      </c>
      <c r="J49" s="13" t="s">
        <v>84</v>
      </c>
      <c r="K49" s="13">
        <v>38.1</v>
      </c>
      <c r="L49" s="13" t="e">
        <v>#VALUE!</v>
      </c>
      <c r="M49" s="13">
        <v>0</v>
      </c>
      <c r="N49" s="13">
        <v>0</v>
      </c>
      <c r="O49" s="13" t="e">
        <v>#DIV/0!</v>
      </c>
      <c r="P49" s="21" t="e">
        <f t="shared" si="8"/>
        <v>#VALUE!</v>
      </c>
      <c r="Q49" s="21" t="e">
        <f t="shared" si="8"/>
        <v>#VALUE!</v>
      </c>
      <c r="R49" s="22" t="e">
        <f t="shared" si="9"/>
        <v>#VALUE!</v>
      </c>
      <c r="S49">
        <v>26.6</v>
      </c>
      <c r="T49" s="14" t="e">
        <f t="shared" si="2"/>
        <v>#VALUE!</v>
      </c>
      <c r="U49" s="23" t="e">
        <f t="shared" si="3"/>
        <v>#VALUE!</v>
      </c>
      <c r="V49" s="16" t="str">
        <f t="shared" si="4"/>
        <v>Yes</v>
      </c>
      <c r="W49" s="23" t="e">
        <f t="shared" si="5"/>
        <v>#VALUE!</v>
      </c>
      <c r="X49" s="23" t="e">
        <f t="shared" si="6"/>
        <v>#DIV/0!</v>
      </c>
      <c r="Z49" s="18">
        <f t="shared" si="7"/>
        <v>6.9372093023255808</v>
      </c>
    </row>
    <row r="50" spans="1:26" ht="16.5" thickTop="1" thickBot="1" x14ac:dyDescent="0.3">
      <c r="B50" s="20" t="s">
        <v>103</v>
      </c>
      <c r="C50" s="3" t="s">
        <v>82</v>
      </c>
      <c r="D50" s="3" t="s">
        <v>83</v>
      </c>
      <c r="E50" s="3" t="s">
        <v>71</v>
      </c>
      <c r="F50">
        <v>172</v>
      </c>
      <c r="G50">
        <v>307</v>
      </c>
      <c r="H50" s="13">
        <v>56.026058631921828</v>
      </c>
      <c r="I50" s="13" t="s">
        <v>84</v>
      </c>
      <c r="J50" s="13" t="s">
        <v>84</v>
      </c>
      <c r="K50" s="13">
        <v>57.27</v>
      </c>
      <c r="L50" s="13" t="e">
        <v>#VALUE!</v>
      </c>
      <c r="M50" s="13">
        <v>0</v>
      </c>
      <c r="N50" s="13">
        <v>2</v>
      </c>
      <c r="O50" s="13">
        <v>0</v>
      </c>
      <c r="P50" s="21" t="e">
        <f t="shared" si="8"/>
        <v>#VALUE!</v>
      </c>
      <c r="Q50" s="21" t="e">
        <f t="shared" si="8"/>
        <v>#VALUE!</v>
      </c>
      <c r="R50" s="22" t="e">
        <f t="shared" si="9"/>
        <v>#VALUE!</v>
      </c>
      <c r="S50" t="s">
        <v>54</v>
      </c>
      <c r="T50" s="14" t="e">
        <f t="shared" si="2"/>
        <v>#VALUE!</v>
      </c>
      <c r="U50" s="23" t="e">
        <f t="shared" si="3"/>
        <v>#VALUE!</v>
      </c>
      <c r="V50" s="17" t="str">
        <f t="shared" si="4"/>
        <v>No</v>
      </c>
      <c r="W50" s="23" t="e">
        <f t="shared" si="5"/>
        <v>#VALUE!</v>
      </c>
      <c r="X50" s="23" t="str">
        <f t="shared" si="6"/>
        <v>No</v>
      </c>
      <c r="Z50" s="18">
        <f t="shared" si="7"/>
        <v>1.2439413680781755</v>
      </c>
    </row>
    <row r="51" spans="1:26" ht="16.5" thickTop="1" thickBot="1" x14ac:dyDescent="0.3">
      <c r="B51" s="20" t="s">
        <v>104</v>
      </c>
      <c r="C51" s="3" t="s">
        <v>82</v>
      </c>
      <c r="D51" s="3" t="s">
        <v>83</v>
      </c>
      <c r="E51" s="3" t="s">
        <v>71</v>
      </c>
      <c r="F51">
        <v>92</v>
      </c>
      <c r="G51">
        <v>307</v>
      </c>
      <c r="H51" s="13">
        <v>29.967426710097723</v>
      </c>
      <c r="I51" s="13" t="s">
        <v>84</v>
      </c>
      <c r="J51" s="13" t="s">
        <v>84</v>
      </c>
      <c r="K51" s="13">
        <v>26.71</v>
      </c>
      <c r="L51" s="13" t="e">
        <v>#VALUE!</v>
      </c>
      <c r="M51" s="13">
        <v>0</v>
      </c>
      <c r="N51" s="13">
        <v>2</v>
      </c>
      <c r="O51" s="13">
        <v>0</v>
      </c>
      <c r="P51" s="21" t="e">
        <f t="shared" si="8"/>
        <v>#VALUE!</v>
      </c>
      <c r="Q51" s="21" t="e">
        <f t="shared" si="8"/>
        <v>#VALUE!</v>
      </c>
      <c r="R51" s="22" t="e">
        <f t="shared" si="9"/>
        <v>#VALUE!</v>
      </c>
      <c r="S51">
        <v>24.3</v>
      </c>
      <c r="T51" s="14" t="e">
        <f t="shared" si="2"/>
        <v>#VALUE!</v>
      </c>
      <c r="U51" s="23" t="e">
        <f t="shared" si="3"/>
        <v>#VALUE!</v>
      </c>
      <c r="V51" s="16" t="str">
        <f t="shared" si="4"/>
        <v>Yes</v>
      </c>
      <c r="W51" s="23" t="e">
        <f t="shared" si="5"/>
        <v>#VALUE!</v>
      </c>
      <c r="X51" s="23" t="str">
        <f t="shared" si="6"/>
        <v>No</v>
      </c>
      <c r="Z51" s="18">
        <f t="shared" si="7"/>
        <v>-3.2574267100977217</v>
      </c>
    </row>
    <row r="52" spans="1:26" ht="16.5" thickTop="1" thickBot="1" x14ac:dyDescent="0.3">
      <c r="B52" s="20" t="s">
        <v>105</v>
      </c>
      <c r="C52" s="3" t="s">
        <v>82</v>
      </c>
      <c r="D52" s="3" t="s">
        <v>83</v>
      </c>
      <c r="E52" s="3" t="s">
        <v>71</v>
      </c>
      <c r="F52">
        <v>52</v>
      </c>
      <c r="G52">
        <v>85</v>
      </c>
      <c r="H52" s="13">
        <v>61.176470588235297</v>
      </c>
      <c r="I52" s="13" t="s">
        <v>84</v>
      </c>
      <c r="J52" s="13" t="s">
        <v>84</v>
      </c>
      <c r="K52" s="13">
        <v>67.33</v>
      </c>
      <c r="L52" s="13" t="e">
        <v>#VALUE!</v>
      </c>
      <c r="M52" s="13">
        <v>0</v>
      </c>
      <c r="N52" s="13">
        <v>1</v>
      </c>
      <c r="O52" s="13">
        <v>0</v>
      </c>
      <c r="P52" s="21" t="e">
        <f t="shared" si="8"/>
        <v>#VALUE!</v>
      </c>
      <c r="Q52" s="21" t="e">
        <f t="shared" si="8"/>
        <v>#VALUE!</v>
      </c>
      <c r="R52" s="22" t="e">
        <f t="shared" si="9"/>
        <v>#VALUE!</v>
      </c>
      <c r="S52" t="s">
        <v>54</v>
      </c>
      <c r="T52" s="14" t="e">
        <f t="shared" si="2"/>
        <v>#VALUE!</v>
      </c>
      <c r="U52" s="23" t="e">
        <f t="shared" si="3"/>
        <v>#VALUE!</v>
      </c>
      <c r="V52" s="17" t="str">
        <f t="shared" si="4"/>
        <v>No</v>
      </c>
      <c r="W52" s="23" t="e">
        <f t="shared" si="5"/>
        <v>#VALUE!</v>
      </c>
      <c r="X52" s="23" t="str">
        <f t="shared" si="6"/>
        <v>No</v>
      </c>
      <c r="Z52" s="18">
        <f t="shared" si="7"/>
        <v>6.1535294117647013</v>
      </c>
    </row>
    <row r="53" spans="1:26" ht="16.5" thickTop="1" thickBot="1" x14ac:dyDescent="0.3">
      <c r="B53" s="20" t="s">
        <v>106</v>
      </c>
      <c r="C53" s="3" t="s">
        <v>82</v>
      </c>
      <c r="D53" s="3" t="s">
        <v>83</v>
      </c>
      <c r="E53" s="3" t="s">
        <v>71</v>
      </c>
      <c r="F53">
        <v>31</v>
      </c>
      <c r="G53">
        <v>85</v>
      </c>
      <c r="H53" s="13">
        <v>36.470588235294116</v>
      </c>
      <c r="I53" s="13" t="s">
        <v>84</v>
      </c>
      <c r="J53" s="13" t="s">
        <v>84</v>
      </c>
      <c r="K53" s="13">
        <v>36.630000000000003</v>
      </c>
      <c r="L53" s="13" t="e">
        <v>#VALUE!</v>
      </c>
      <c r="M53" s="13">
        <v>0</v>
      </c>
      <c r="N53" s="13">
        <v>1</v>
      </c>
      <c r="O53" s="13">
        <v>0</v>
      </c>
      <c r="P53" s="21" t="e">
        <f t="shared" si="8"/>
        <v>#VALUE!</v>
      </c>
      <c r="Q53" s="21" t="e">
        <f t="shared" si="8"/>
        <v>#VALUE!</v>
      </c>
      <c r="R53" s="22" t="e">
        <f t="shared" si="9"/>
        <v>#VALUE!</v>
      </c>
      <c r="S53">
        <v>35.6</v>
      </c>
      <c r="T53" s="14" t="e">
        <f t="shared" si="2"/>
        <v>#VALUE!</v>
      </c>
      <c r="U53" s="23" t="e">
        <f t="shared" si="3"/>
        <v>#VALUE!</v>
      </c>
      <c r="V53" s="16" t="str">
        <f t="shared" si="4"/>
        <v>Yes</v>
      </c>
      <c r="W53" s="23" t="e">
        <f t="shared" si="5"/>
        <v>#VALUE!</v>
      </c>
      <c r="X53" s="23" t="str">
        <f t="shared" si="6"/>
        <v>No</v>
      </c>
      <c r="Z53" s="18">
        <f t="shared" si="7"/>
        <v>0.15941176470588658</v>
      </c>
    </row>
    <row r="54" spans="1:26" ht="16.5" thickTop="1" thickBot="1" x14ac:dyDescent="0.3">
      <c r="B54" s="20" t="s">
        <v>107</v>
      </c>
      <c r="C54" s="3" t="s">
        <v>82</v>
      </c>
      <c r="D54" s="3" t="s">
        <v>83</v>
      </c>
      <c r="E54" s="3" t="s">
        <v>71</v>
      </c>
      <c r="F54">
        <v>14</v>
      </c>
      <c r="G54">
        <v>21</v>
      </c>
      <c r="H54" s="13">
        <v>66.666666666666657</v>
      </c>
      <c r="I54" s="13" t="s">
        <v>84</v>
      </c>
      <c r="J54" s="13" t="s">
        <v>84</v>
      </c>
      <c r="K54" s="13">
        <v>75.86</v>
      </c>
      <c r="L54" s="13" t="e">
        <v>#VALUE!</v>
      </c>
      <c r="M54" s="13">
        <v>0</v>
      </c>
      <c r="N54" s="13">
        <v>0</v>
      </c>
      <c r="O54" s="13" t="e">
        <v>#DIV/0!</v>
      </c>
      <c r="P54" s="21" t="e">
        <f t="shared" si="8"/>
        <v>#VALUE!</v>
      </c>
      <c r="Q54" s="21" t="e">
        <f t="shared" si="8"/>
        <v>#VALUE!</v>
      </c>
      <c r="R54" s="22" t="e">
        <f t="shared" si="9"/>
        <v>#VALUE!</v>
      </c>
      <c r="S54" t="s">
        <v>54</v>
      </c>
      <c r="T54" s="14" t="e">
        <f t="shared" si="2"/>
        <v>#VALUE!</v>
      </c>
      <c r="U54" s="23" t="e">
        <f t="shared" si="3"/>
        <v>#VALUE!</v>
      </c>
      <c r="V54" s="17" t="str">
        <f t="shared" si="4"/>
        <v>No</v>
      </c>
      <c r="W54" s="23" t="e">
        <f t="shared" si="5"/>
        <v>#VALUE!</v>
      </c>
      <c r="X54" s="23" t="e">
        <f t="shared" si="6"/>
        <v>#DIV/0!</v>
      </c>
      <c r="Z54" s="18">
        <f t="shared" si="7"/>
        <v>9.1933333333333422</v>
      </c>
    </row>
    <row r="55" spans="1:26" ht="16.5" thickTop="1" thickBot="1" x14ac:dyDescent="0.3">
      <c r="B55" s="20" t="s">
        <v>108</v>
      </c>
      <c r="C55" s="3" t="s">
        <v>82</v>
      </c>
      <c r="D55" s="3" t="s">
        <v>83</v>
      </c>
      <c r="E55" s="3" t="s">
        <v>71</v>
      </c>
      <c r="F55">
        <v>11</v>
      </c>
      <c r="G55">
        <v>21</v>
      </c>
      <c r="H55" s="13">
        <v>52.380952380952387</v>
      </c>
      <c r="I55" s="13" t="s">
        <v>84</v>
      </c>
      <c r="J55" s="13" t="s">
        <v>84</v>
      </c>
      <c r="K55" s="13">
        <v>48.28</v>
      </c>
      <c r="L55" s="13" t="e">
        <v>#VALUE!</v>
      </c>
      <c r="M55" s="13">
        <v>0</v>
      </c>
      <c r="N55" s="13">
        <v>0</v>
      </c>
      <c r="O55" s="13" t="e">
        <v>#DIV/0!</v>
      </c>
      <c r="P55" s="21" t="e">
        <f t="shared" si="8"/>
        <v>#VALUE!</v>
      </c>
      <c r="Q55" s="21" t="e">
        <f t="shared" si="8"/>
        <v>#VALUE!</v>
      </c>
      <c r="R55" s="22" t="e">
        <f t="shared" si="9"/>
        <v>#VALUE!</v>
      </c>
      <c r="S55">
        <v>48.2</v>
      </c>
      <c r="T55" s="14" t="e">
        <f t="shared" si="2"/>
        <v>#VALUE!</v>
      </c>
      <c r="U55" s="23" t="e">
        <f t="shared" si="3"/>
        <v>#VALUE!</v>
      </c>
      <c r="V55" s="19" t="str">
        <f t="shared" si="4"/>
        <v>Yes</v>
      </c>
      <c r="W55" s="23" t="e">
        <f t="shared" si="5"/>
        <v>#VALUE!</v>
      </c>
      <c r="X55" s="23" t="e">
        <f t="shared" si="6"/>
        <v>#DIV/0!</v>
      </c>
      <c r="Z55" s="18">
        <f t="shared" si="7"/>
        <v>-4.1009523809523856</v>
      </c>
    </row>
    <row r="56" spans="1:26" ht="16.5" thickTop="1" thickBot="1" x14ac:dyDescent="0.3">
      <c r="B56" s="20" t="s">
        <v>109</v>
      </c>
      <c r="C56" s="3" t="s">
        <v>82</v>
      </c>
      <c r="D56" s="3" t="s">
        <v>83</v>
      </c>
      <c r="E56" s="3" t="s">
        <v>71</v>
      </c>
      <c r="F56">
        <v>494</v>
      </c>
      <c r="G56">
        <v>843</v>
      </c>
      <c r="H56" s="13">
        <v>58.600237247924078</v>
      </c>
      <c r="I56" s="13" t="s">
        <v>84</v>
      </c>
      <c r="J56" s="13" t="s">
        <v>84</v>
      </c>
      <c r="K56" s="13">
        <v>64.260000000000005</v>
      </c>
      <c r="L56" s="13" t="e">
        <v>#VALUE!</v>
      </c>
      <c r="M56" s="13">
        <v>0</v>
      </c>
      <c r="N56" s="13">
        <v>3</v>
      </c>
      <c r="O56" s="13">
        <v>0</v>
      </c>
      <c r="P56" s="21" t="e">
        <f t="shared" si="8"/>
        <v>#VALUE!</v>
      </c>
      <c r="Q56" s="21" t="e">
        <f t="shared" si="8"/>
        <v>#VALUE!</v>
      </c>
      <c r="R56" s="22" t="e">
        <f t="shared" si="9"/>
        <v>#VALUE!</v>
      </c>
      <c r="S56" t="s">
        <v>54</v>
      </c>
      <c r="T56" s="14" t="e">
        <f t="shared" si="2"/>
        <v>#VALUE!</v>
      </c>
      <c r="U56" s="23" t="e">
        <f t="shared" si="3"/>
        <v>#VALUE!</v>
      </c>
      <c r="V56" s="15" t="str">
        <f t="shared" si="4"/>
        <v>No</v>
      </c>
      <c r="W56" s="23" t="e">
        <f t="shared" si="5"/>
        <v>#VALUE!</v>
      </c>
      <c r="X56" s="23" t="str">
        <f t="shared" si="6"/>
        <v>No</v>
      </c>
      <c r="Z56" s="18">
        <f t="shared" si="7"/>
        <v>5.6597627520759275</v>
      </c>
    </row>
    <row r="57" spans="1:26" ht="16.5" thickTop="1" thickBot="1" x14ac:dyDescent="0.3">
      <c r="B57" s="20" t="s">
        <v>110</v>
      </c>
      <c r="C57" s="3" t="s">
        <v>82</v>
      </c>
      <c r="D57" s="3" t="s">
        <v>83</v>
      </c>
      <c r="E57" s="3" t="s">
        <v>71</v>
      </c>
      <c r="F57">
        <v>268</v>
      </c>
      <c r="G57">
        <v>843</v>
      </c>
      <c r="H57" s="13">
        <v>31.791221826809014</v>
      </c>
      <c r="I57" s="13" t="s">
        <v>84</v>
      </c>
      <c r="J57" s="13" t="s">
        <v>84</v>
      </c>
      <c r="K57" s="13">
        <v>34.119999999999997</v>
      </c>
      <c r="L57" s="13" t="e">
        <v>#VALUE!</v>
      </c>
      <c r="M57" s="13">
        <v>0</v>
      </c>
      <c r="N57" s="13">
        <v>3</v>
      </c>
      <c r="O57" s="13">
        <v>0</v>
      </c>
      <c r="P57" s="21" t="e">
        <f t="shared" si="8"/>
        <v>#VALUE!</v>
      </c>
      <c r="Q57" s="21" t="e">
        <f t="shared" si="8"/>
        <v>#VALUE!</v>
      </c>
      <c r="R57" s="22" t="e">
        <f t="shared" si="9"/>
        <v>#VALUE!</v>
      </c>
      <c r="S57">
        <v>30.5</v>
      </c>
      <c r="T57" s="14" t="e">
        <f t="shared" si="2"/>
        <v>#VALUE!</v>
      </c>
      <c r="U57" s="23" t="e">
        <f t="shared" si="3"/>
        <v>#VALUE!</v>
      </c>
      <c r="V57" s="16" t="str">
        <f t="shared" si="4"/>
        <v>Yes</v>
      </c>
      <c r="W57" s="23" t="e">
        <f t="shared" si="5"/>
        <v>#VALUE!</v>
      </c>
      <c r="X57" s="23" t="str">
        <f t="shared" si="6"/>
        <v>No</v>
      </c>
      <c r="Z57" s="18">
        <f t="shared" si="7"/>
        <v>2.3287781731909831</v>
      </c>
    </row>
    <row r="58" spans="1:26" ht="16.5" thickTop="1" thickBot="1" x14ac:dyDescent="0.3">
      <c r="A58" s="1" t="s">
        <v>111</v>
      </c>
      <c r="B58" s="20" t="s">
        <v>112</v>
      </c>
      <c r="C58" s="3" t="s">
        <v>82</v>
      </c>
      <c r="D58" s="3" t="s">
        <v>83</v>
      </c>
      <c r="E58" s="3" t="s">
        <v>71</v>
      </c>
      <c r="F58">
        <v>321</v>
      </c>
      <c r="G58">
        <v>451</v>
      </c>
      <c r="H58" s="13">
        <v>71.175166297117514</v>
      </c>
      <c r="I58" s="13" t="s">
        <v>84</v>
      </c>
      <c r="J58" s="13" t="s">
        <v>84</v>
      </c>
      <c r="K58" s="13">
        <v>71.25</v>
      </c>
      <c r="L58" s="13" t="e">
        <v>#VALUE!</v>
      </c>
      <c r="M58" s="13">
        <v>0</v>
      </c>
      <c r="N58" s="13">
        <v>0</v>
      </c>
      <c r="O58" s="13" t="e">
        <v>#DIV/0!</v>
      </c>
      <c r="P58" s="21" t="e">
        <f t="shared" si="8"/>
        <v>#VALUE!</v>
      </c>
      <c r="Q58" s="21" t="e">
        <f t="shared" si="8"/>
        <v>#VALUE!</v>
      </c>
      <c r="R58" s="22" t="e">
        <f t="shared" si="9"/>
        <v>#VALUE!</v>
      </c>
      <c r="S58">
        <v>69.5</v>
      </c>
      <c r="T58" s="14" t="e">
        <f t="shared" si="2"/>
        <v>#VALUE!</v>
      </c>
      <c r="U58" s="23" t="e">
        <f t="shared" si="3"/>
        <v>#VALUE!</v>
      </c>
      <c r="V58" s="16" t="str">
        <f t="shared" si="4"/>
        <v>Yes</v>
      </c>
      <c r="W58" s="23" t="e">
        <f t="shared" si="5"/>
        <v>#VALUE!</v>
      </c>
      <c r="X58" s="23" t="e">
        <f t="shared" si="6"/>
        <v>#DIV/0!</v>
      </c>
      <c r="Z58" s="18">
        <f t="shared" si="7"/>
        <v>7.4833702882486364E-2</v>
      </c>
    </row>
    <row r="59" spans="1:26" ht="16.5" thickTop="1" thickBot="1" x14ac:dyDescent="0.3">
      <c r="B59" s="20" t="s">
        <v>113</v>
      </c>
      <c r="C59" s="3" t="s">
        <v>82</v>
      </c>
      <c r="D59" s="3" t="s">
        <v>83</v>
      </c>
      <c r="E59" s="3" t="s">
        <v>71</v>
      </c>
      <c r="F59">
        <v>206</v>
      </c>
      <c r="G59">
        <v>327</v>
      </c>
      <c r="H59" s="13">
        <v>62.99694189602446</v>
      </c>
      <c r="I59" s="13" t="s">
        <v>84</v>
      </c>
      <c r="J59" s="13" t="s">
        <v>84</v>
      </c>
      <c r="K59" s="13">
        <v>60.06</v>
      </c>
      <c r="L59" s="13" t="e">
        <v>#VALUE!</v>
      </c>
      <c r="M59" s="13">
        <v>1</v>
      </c>
      <c r="N59" s="13">
        <v>2</v>
      </c>
      <c r="O59" s="13">
        <v>50</v>
      </c>
      <c r="P59" s="21" t="e">
        <f t="shared" si="8"/>
        <v>#VALUE!</v>
      </c>
      <c r="Q59" s="21" t="e">
        <f t="shared" si="8"/>
        <v>#VALUE!</v>
      </c>
      <c r="R59" s="22" t="e">
        <f t="shared" si="9"/>
        <v>#VALUE!</v>
      </c>
      <c r="S59">
        <v>57.7</v>
      </c>
      <c r="T59" s="14" t="e">
        <f t="shared" si="2"/>
        <v>#VALUE!</v>
      </c>
      <c r="U59" s="23" t="e">
        <f t="shared" si="3"/>
        <v>#VALUE!</v>
      </c>
      <c r="V59" s="19" t="str">
        <f t="shared" si="4"/>
        <v>Yes</v>
      </c>
      <c r="W59" s="23" t="e">
        <f t="shared" si="5"/>
        <v>#VALUE!</v>
      </c>
      <c r="X59" s="23" t="str">
        <f t="shared" si="6"/>
        <v>No</v>
      </c>
      <c r="Z59" s="18">
        <f t="shared" si="7"/>
        <v>-2.9369418960244573</v>
      </c>
    </row>
    <row r="60" spans="1:26" ht="16.5" thickTop="1" thickBot="1" x14ac:dyDescent="0.3">
      <c r="B60" s="20" t="s">
        <v>114</v>
      </c>
      <c r="C60" s="3" t="s">
        <v>82</v>
      </c>
      <c r="D60" s="3" t="s">
        <v>83</v>
      </c>
      <c r="E60" s="3" t="s">
        <v>71</v>
      </c>
      <c r="F60">
        <v>54</v>
      </c>
      <c r="G60">
        <v>109</v>
      </c>
      <c r="H60" s="13">
        <v>49.541284403669728</v>
      </c>
      <c r="I60" s="13" t="s">
        <v>84</v>
      </c>
      <c r="J60" s="13" t="s">
        <v>84</v>
      </c>
      <c r="K60" s="13">
        <v>50</v>
      </c>
      <c r="L60" s="13" t="e">
        <v>#VALUE!</v>
      </c>
      <c r="M60" s="13">
        <v>0</v>
      </c>
      <c r="N60" s="13">
        <v>2</v>
      </c>
      <c r="O60" s="13">
        <v>0</v>
      </c>
      <c r="P60" s="21" t="e">
        <f t="shared" si="8"/>
        <v>#VALUE!</v>
      </c>
      <c r="Q60" s="21" t="e">
        <f t="shared" si="8"/>
        <v>#VALUE!</v>
      </c>
      <c r="R60" s="22" t="e">
        <f t="shared" si="9"/>
        <v>#VALUE!</v>
      </c>
      <c r="S60">
        <v>47.2</v>
      </c>
      <c r="T60" s="14" t="e">
        <f t="shared" si="2"/>
        <v>#VALUE!</v>
      </c>
      <c r="U60" s="23" t="e">
        <f t="shared" si="3"/>
        <v>#VALUE!</v>
      </c>
      <c r="V60" s="16" t="str">
        <f t="shared" si="4"/>
        <v>Yes</v>
      </c>
      <c r="W60" s="23" t="e">
        <f t="shared" si="5"/>
        <v>#VALUE!</v>
      </c>
      <c r="X60" s="23" t="str">
        <f t="shared" si="6"/>
        <v>No</v>
      </c>
      <c r="Z60" s="18">
        <f t="shared" si="7"/>
        <v>0.45871559633027204</v>
      </c>
    </row>
    <row r="61" spans="1:26" ht="16.5" thickTop="1" thickBot="1" x14ac:dyDescent="0.3">
      <c r="B61" s="20" t="s">
        <v>115</v>
      </c>
      <c r="C61" s="3" t="s">
        <v>82</v>
      </c>
      <c r="D61" s="3" t="s">
        <v>83</v>
      </c>
      <c r="E61" s="3" t="s">
        <v>71</v>
      </c>
      <c r="F61">
        <v>17</v>
      </c>
      <c r="G61">
        <v>34</v>
      </c>
      <c r="H61" s="13">
        <v>50</v>
      </c>
      <c r="I61" s="13" t="s">
        <v>84</v>
      </c>
      <c r="J61" s="13" t="s">
        <v>84</v>
      </c>
      <c r="K61" s="13">
        <v>48.84</v>
      </c>
      <c r="L61" s="13" t="e">
        <v>#VALUE!</v>
      </c>
      <c r="M61" s="13">
        <v>0</v>
      </c>
      <c r="N61" s="13">
        <v>0</v>
      </c>
      <c r="O61" s="13" t="e">
        <v>#DIV/0!</v>
      </c>
      <c r="P61" s="21" t="e">
        <f t="shared" si="8"/>
        <v>#VALUE!</v>
      </c>
      <c r="Q61" s="21" t="e">
        <f t="shared" si="8"/>
        <v>#VALUE!</v>
      </c>
      <c r="R61" s="22" t="e">
        <f t="shared" si="9"/>
        <v>#VALUE!</v>
      </c>
      <c r="S61">
        <v>49.1</v>
      </c>
      <c r="T61" s="14" t="e">
        <f t="shared" si="2"/>
        <v>#VALUE!</v>
      </c>
      <c r="U61" s="23" t="e">
        <f t="shared" si="3"/>
        <v>#VALUE!</v>
      </c>
      <c r="V61" s="19" t="str">
        <f t="shared" si="4"/>
        <v>Yes</v>
      </c>
      <c r="W61" s="23" t="e">
        <f t="shared" si="5"/>
        <v>#VALUE!</v>
      </c>
      <c r="X61" s="23" t="e">
        <f t="shared" si="6"/>
        <v>#DIV/0!</v>
      </c>
      <c r="Z61" s="18">
        <f t="shared" si="7"/>
        <v>-1.1599999999999966</v>
      </c>
    </row>
    <row r="62" spans="1:26" ht="16.5" thickTop="1" thickBot="1" x14ac:dyDescent="0.3">
      <c r="B62" s="20" t="s">
        <v>116</v>
      </c>
      <c r="C62" s="3" t="s">
        <v>82</v>
      </c>
      <c r="D62" s="3" t="s">
        <v>83</v>
      </c>
      <c r="E62" s="3" t="s">
        <v>71</v>
      </c>
      <c r="F62">
        <v>598</v>
      </c>
      <c r="G62">
        <v>921</v>
      </c>
      <c r="H62" s="13">
        <v>64.929424538545049</v>
      </c>
      <c r="I62" s="13" t="s">
        <v>84</v>
      </c>
      <c r="J62" s="13" t="s">
        <v>84</v>
      </c>
      <c r="K62" s="13">
        <v>63.68</v>
      </c>
      <c r="L62" s="13" t="e">
        <v>#VALUE!</v>
      </c>
      <c r="M62" s="13">
        <v>1</v>
      </c>
      <c r="N62" s="13">
        <v>4</v>
      </c>
      <c r="O62" s="13">
        <v>25</v>
      </c>
      <c r="P62" s="21" t="e">
        <f t="shared" si="8"/>
        <v>#VALUE!</v>
      </c>
      <c r="Q62" s="21" t="e">
        <f t="shared" si="8"/>
        <v>#VALUE!</v>
      </c>
      <c r="R62" s="22" t="e">
        <f t="shared" si="9"/>
        <v>#VALUE!</v>
      </c>
      <c r="S62">
        <v>59.4</v>
      </c>
      <c r="T62" s="14" t="e">
        <f t="shared" si="2"/>
        <v>#VALUE!</v>
      </c>
      <c r="U62" s="23" t="e">
        <f t="shared" si="3"/>
        <v>#VALUE!</v>
      </c>
      <c r="V62" s="16" t="str">
        <f t="shared" si="4"/>
        <v>Yes</v>
      </c>
      <c r="W62" s="23" t="e">
        <f t="shared" si="5"/>
        <v>#VALUE!</v>
      </c>
      <c r="X62" s="23" t="str">
        <f t="shared" si="6"/>
        <v>No</v>
      </c>
      <c r="Z62" s="18">
        <f t="shared" si="7"/>
        <v>-1.2494245385450498</v>
      </c>
    </row>
    <row r="63" spans="1:26" ht="16.5" thickTop="1" thickBot="1" x14ac:dyDescent="0.3">
      <c r="A63" s="1" t="s">
        <v>117</v>
      </c>
      <c r="B63" t="s">
        <v>118</v>
      </c>
      <c r="C63" s="3" t="s">
        <v>119</v>
      </c>
      <c r="D63" s="3" t="s">
        <v>120</v>
      </c>
      <c r="E63" s="3" t="s">
        <v>35</v>
      </c>
      <c r="F63">
        <v>226</v>
      </c>
      <c r="G63">
        <v>411</v>
      </c>
      <c r="H63" s="13">
        <v>54.987834549878343</v>
      </c>
      <c r="I63" s="13">
        <v>278</v>
      </c>
      <c r="J63" s="13">
        <v>435</v>
      </c>
      <c r="K63" s="13">
        <v>61.12</v>
      </c>
      <c r="L63" s="13">
        <v>63.908045977011497</v>
      </c>
      <c r="M63" s="13">
        <v>124</v>
      </c>
      <c r="N63" s="13">
        <v>270</v>
      </c>
      <c r="O63" s="13">
        <v>45.925925925925924</v>
      </c>
      <c r="P63">
        <f t="shared" si="8"/>
        <v>628</v>
      </c>
      <c r="Q63">
        <f t="shared" si="8"/>
        <v>1116</v>
      </c>
      <c r="R63" s="14">
        <f t="shared" si="9"/>
        <v>56.272401433691755</v>
      </c>
      <c r="S63">
        <v>58.1</v>
      </c>
      <c r="T63" s="14">
        <f t="shared" si="2"/>
        <v>1.8275985663082466</v>
      </c>
      <c r="U63" s="15" t="str">
        <f t="shared" si="3"/>
        <v>No</v>
      </c>
      <c r="V63" s="15" t="str">
        <f t="shared" si="4"/>
        <v>No</v>
      </c>
      <c r="W63" s="19" t="str">
        <f t="shared" si="5"/>
        <v>Yes</v>
      </c>
      <c r="X63" s="15" t="str">
        <f t="shared" si="6"/>
        <v>No</v>
      </c>
      <c r="Z63" s="18">
        <f t="shared" si="7"/>
        <v>6.1321654501216543</v>
      </c>
    </row>
    <row r="64" spans="1:26" ht="16.5" thickTop="1" thickBot="1" x14ac:dyDescent="0.3">
      <c r="A64" s="1" t="s">
        <v>121</v>
      </c>
      <c r="B64" s="20" t="s">
        <v>122</v>
      </c>
      <c r="C64" s="3" t="s">
        <v>119</v>
      </c>
      <c r="D64" s="3" t="s">
        <v>120</v>
      </c>
      <c r="E64" s="3" t="s">
        <v>71</v>
      </c>
      <c r="F64" s="21">
        <v>8</v>
      </c>
      <c r="G64" s="21">
        <v>10</v>
      </c>
      <c r="H64" s="13">
        <v>80</v>
      </c>
      <c r="I64" s="13" t="s">
        <v>84</v>
      </c>
      <c r="J64" s="13" t="s">
        <v>84</v>
      </c>
      <c r="K64" s="13">
        <v>100</v>
      </c>
      <c r="L64" s="13" t="e">
        <v>#VALUE!</v>
      </c>
      <c r="M64" s="13">
        <v>0</v>
      </c>
      <c r="N64" s="13">
        <v>1</v>
      </c>
      <c r="O64" s="13">
        <v>0</v>
      </c>
      <c r="P64" s="21" t="e">
        <f t="shared" si="8"/>
        <v>#VALUE!</v>
      </c>
      <c r="Q64" s="21" t="e">
        <f t="shared" si="8"/>
        <v>#VALUE!</v>
      </c>
      <c r="R64" s="22" t="e">
        <f t="shared" si="9"/>
        <v>#VALUE!</v>
      </c>
      <c r="S64">
        <v>83.3</v>
      </c>
      <c r="T64" s="14" t="e">
        <f t="shared" si="2"/>
        <v>#VALUE!</v>
      </c>
      <c r="U64" s="23" t="e">
        <f t="shared" si="3"/>
        <v>#VALUE!</v>
      </c>
      <c r="V64" s="23" t="str">
        <f t="shared" si="4"/>
        <v>No</v>
      </c>
      <c r="W64" s="23" t="e">
        <f t="shared" si="5"/>
        <v>#VALUE!</v>
      </c>
      <c r="X64" s="23" t="str">
        <f t="shared" si="6"/>
        <v>No</v>
      </c>
      <c r="Z64" s="18">
        <f t="shared" si="7"/>
        <v>20</v>
      </c>
    </row>
    <row r="65" spans="1:26" ht="15.75" thickTop="1" x14ac:dyDescent="0.25">
      <c r="A65" s="1" t="s">
        <v>123</v>
      </c>
      <c r="B65" t="s">
        <v>124</v>
      </c>
      <c r="C65" s="3" t="s">
        <v>125</v>
      </c>
      <c r="D65" s="3" t="s">
        <v>126</v>
      </c>
      <c r="E65" s="3" t="s">
        <v>35</v>
      </c>
      <c r="F65">
        <f>112+435</f>
        <v>547</v>
      </c>
      <c r="G65">
        <v>620</v>
      </c>
      <c r="H65" s="13">
        <v>88.225806451612897</v>
      </c>
      <c r="I65" s="13">
        <f>515+11</f>
        <v>526</v>
      </c>
      <c r="J65" s="13">
        <v>576</v>
      </c>
      <c r="K65" s="13">
        <v>86.94</v>
      </c>
      <c r="L65" s="13">
        <v>91.319444444444443</v>
      </c>
      <c r="M65" s="13">
        <f>227+8</f>
        <v>235</v>
      </c>
      <c r="N65" s="13">
        <v>280</v>
      </c>
      <c r="O65" s="13">
        <v>83.928571428571431</v>
      </c>
      <c r="P65">
        <f t="shared" si="8"/>
        <v>1308</v>
      </c>
      <c r="Q65">
        <f t="shared" si="8"/>
        <v>1476</v>
      </c>
      <c r="R65" s="14">
        <f t="shared" si="9"/>
        <v>88.617886178861795</v>
      </c>
      <c r="S65">
        <v>86.3</v>
      </c>
      <c r="T65" s="14">
        <f t="shared" si="2"/>
        <v>-2.3178861788617979</v>
      </c>
      <c r="U65" s="16" t="str">
        <f t="shared" si="3"/>
        <v>Yes</v>
      </c>
      <c r="V65" s="16" t="str">
        <f t="shared" si="4"/>
        <v>Yes</v>
      </c>
      <c r="W65" s="16" t="str">
        <f t="shared" si="5"/>
        <v>Yes</v>
      </c>
      <c r="X65" s="17" t="str">
        <f t="shared" si="6"/>
        <v>No</v>
      </c>
      <c r="Z65" s="18">
        <f t="shared" si="7"/>
        <v>-1.2858064516128991</v>
      </c>
    </row>
    <row r="66" spans="1:26" x14ac:dyDescent="0.25">
      <c r="B66" t="s">
        <v>127</v>
      </c>
      <c r="C66" s="3" t="s">
        <v>125</v>
      </c>
      <c r="D66" s="3" t="s">
        <v>126</v>
      </c>
      <c r="E66" s="3" t="s">
        <v>35</v>
      </c>
      <c r="F66">
        <f>78+180</f>
        <v>258</v>
      </c>
      <c r="G66">
        <v>620</v>
      </c>
      <c r="H66" s="13">
        <v>41.612903225806456</v>
      </c>
      <c r="I66" s="13">
        <f>145+88</f>
        <v>233</v>
      </c>
      <c r="J66" s="13">
        <v>576</v>
      </c>
      <c r="K66" s="13">
        <v>37.74</v>
      </c>
      <c r="L66" s="13">
        <v>40.451388888888893</v>
      </c>
      <c r="M66" s="13">
        <f>152+30</f>
        <v>182</v>
      </c>
      <c r="N66" s="13">
        <v>280</v>
      </c>
      <c r="O66" s="13">
        <v>65</v>
      </c>
      <c r="P66">
        <f t="shared" si="8"/>
        <v>673</v>
      </c>
      <c r="Q66">
        <f t="shared" si="8"/>
        <v>1476</v>
      </c>
      <c r="R66" s="14">
        <f t="shared" si="9"/>
        <v>45.596205962059621</v>
      </c>
      <c r="S66">
        <v>43.6</v>
      </c>
      <c r="T66" s="14">
        <f t="shared" si="2"/>
        <v>-1.9962059620596193</v>
      </c>
      <c r="U66" s="16" t="str">
        <f t="shared" si="3"/>
        <v>Yes</v>
      </c>
      <c r="V66" s="17" t="str">
        <f t="shared" si="4"/>
        <v>No</v>
      </c>
      <c r="W66" s="17" t="str">
        <f t="shared" si="5"/>
        <v>No</v>
      </c>
      <c r="X66" s="16" t="str">
        <f t="shared" si="6"/>
        <v>Yes</v>
      </c>
      <c r="Z66" s="18">
        <f t="shared" si="7"/>
        <v>-3.8729032258064535</v>
      </c>
    </row>
    <row r="67" spans="1:26" x14ac:dyDescent="0.25">
      <c r="B67" t="s">
        <v>128</v>
      </c>
      <c r="C67" s="3" t="s">
        <v>125</v>
      </c>
      <c r="D67" s="3" t="s">
        <v>126</v>
      </c>
      <c r="E67" s="3" t="s">
        <v>35</v>
      </c>
      <c r="F67">
        <f>5+297</f>
        <v>302</v>
      </c>
      <c r="G67">
        <v>620</v>
      </c>
      <c r="H67" s="13">
        <v>48.70967741935484</v>
      </c>
      <c r="I67" s="13">
        <f>21+258</f>
        <v>279</v>
      </c>
      <c r="J67" s="13">
        <v>576</v>
      </c>
      <c r="K67" s="13">
        <v>54.84</v>
      </c>
      <c r="L67" s="13">
        <v>48.4375</v>
      </c>
      <c r="M67" s="13">
        <f>0+81</f>
        <v>81</v>
      </c>
      <c r="N67" s="13">
        <v>280</v>
      </c>
      <c r="O67" s="13">
        <v>28.928571428571431</v>
      </c>
      <c r="P67">
        <f t="shared" ref="P67:Q98" si="10">F67+I67+M67</f>
        <v>662</v>
      </c>
      <c r="Q67">
        <f t="shared" si="10"/>
        <v>1476</v>
      </c>
      <c r="R67" s="14">
        <f t="shared" si="9"/>
        <v>44.850948509485093</v>
      </c>
      <c r="S67">
        <v>46.5</v>
      </c>
      <c r="T67" s="14">
        <f t="shared" ref="T67:T130" si="11">S67-R67</f>
        <v>1.649051490514907</v>
      </c>
      <c r="U67" s="15" t="str">
        <f t="shared" ref="U67:U130" si="12">IF(R67&gt;S67,"Yes","No")</f>
        <v>No</v>
      </c>
      <c r="V67" s="19" t="str">
        <f t="shared" ref="V67:V130" si="13">IF(H67&gt;S67,"Yes","No")</f>
        <v>Yes</v>
      </c>
      <c r="W67" s="19" t="str">
        <f t="shared" ref="W67:W130" si="14">IF(L67&gt;S67,"Yes","No")</f>
        <v>Yes</v>
      </c>
      <c r="X67" s="15" t="str">
        <f t="shared" ref="X67:X130" si="15">IF(O67&gt;S67,"Yes","No")</f>
        <v>No</v>
      </c>
      <c r="Z67" s="18">
        <f t="shared" ref="Z67:Z130" si="16">K67-H67</f>
        <v>6.1303225806451636</v>
      </c>
    </row>
    <row r="68" spans="1:26" x14ac:dyDescent="0.25">
      <c r="B68" t="s">
        <v>129</v>
      </c>
      <c r="C68" s="3" t="s">
        <v>125</v>
      </c>
      <c r="D68" s="3" t="s">
        <v>126</v>
      </c>
      <c r="E68" s="3" t="s">
        <v>35</v>
      </c>
      <c r="F68">
        <f>2+162</f>
        <v>164</v>
      </c>
      <c r="G68">
        <v>620</v>
      </c>
      <c r="H68" s="13">
        <v>26.451612903225808</v>
      </c>
      <c r="I68" s="13">
        <f>11+138</f>
        <v>149</v>
      </c>
      <c r="J68" s="13">
        <v>419</v>
      </c>
      <c r="K68" s="13">
        <v>40.049999999999997</v>
      </c>
      <c r="L68" s="13">
        <v>35.56085918854415</v>
      </c>
      <c r="M68" s="13">
        <f>0+40</f>
        <v>40</v>
      </c>
      <c r="N68" s="13">
        <v>187</v>
      </c>
      <c r="O68" s="13">
        <v>21.390374331550802</v>
      </c>
      <c r="P68">
        <f t="shared" si="10"/>
        <v>353</v>
      </c>
      <c r="Q68">
        <f t="shared" si="10"/>
        <v>1226</v>
      </c>
      <c r="R68" s="14">
        <f t="shared" si="9"/>
        <v>28.792822185970635</v>
      </c>
      <c r="S68">
        <v>34.1</v>
      </c>
      <c r="T68" s="14">
        <f t="shared" si="11"/>
        <v>5.3071778140293659</v>
      </c>
      <c r="U68" s="15" t="str">
        <f t="shared" si="12"/>
        <v>No</v>
      </c>
      <c r="V68" s="17" t="str">
        <f t="shared" si="13"/>
        <v>No</v>
      </c>
      <c r="W68" s="19" t="str">
        <f t="shared" si="14"/>
        <v>Yes</v>
      </c>
      <c r="X68" s="15" t="str">
        <f t="shared" si="15"/>
        <v>No</v>
      </c>
      <c r="Z68" s="18">
        <f t="shared" si="16"/>
        <v>13.598387096774189</v>
      </c>
    </row>
    <row r="69" spans="1:26" x14ac:dyDescent="0.25">
      <c r="B69" t="s">
        <v>130</v>
      </c>
      <c r="C69" s="3" t="s">
        <v>125</v>
      </c>
      <c r="D69" s="3" t="s">
        <v>126</v>
      </c>
      <c r="E69" s="3" t="s">
        <v>35</v>
      </c>
      <c r="F69">
        <f>301+91</f>
        <v>392</v>
      </c>
      <c r="G69">
        <v>620</v>
      </c>
      <c r="H69" s="13">
        <v>63.225806451612897</v>
      </c>
      <c r="I69" s="13">
        <f>265+48</f>
        <v>313</v>
      </c>
      <c r="J69" s="13">
        <v>576</v>
      </c>
      <c r="K69" s="13">
        <v>65.319999999999993</v>
      </c>
      <c r="L69" s="13">
        <v>54.340277777777779</v>
      </c>
      <c r="M69" s="13">
        <f>117+12</f>
        <v>129</v>
      </c>
      <c r="N69" s="13">
        <v>280</v>
      </c>
      <c r="O69" s="13">
        <v>46.071428571428569</v>
      </c>
      <c r="P69">
        <f t="shared" si="10"/>
        <v>834</v>
      </c>
      <c r="Q69">
        <f t="shared" si="10"/>
        <v>1476</v>
      </c>
      <c r="R69" s="14">
        <f t="shared" si="9"/>
        <v>56.50406504065041</v>
      </c>
      <c r="S69">
        <v>54.4</v>
      </c>
      <c r="T69" s="14">
        <f t="shared" si="11"/>
        <v>-2.1040650406504113</v>
      </c>
      <c r="U69" s="16" t="str">
        <f t="shared" si="12"/>
        <v>Yes</v>
      </c>
      <c r="V69" s="16" t="str">
        <f t="shared" si="13"/>
        <v>Yes</v>
      </c>
      <c r="W69" s="17" t="str">
        <f t="shared" si="14"/>
        <v>No</v>
      </c>
      <c r="X69" s="17" t="str">
        <f t="shared" si="15"/>
        <v>No</v>
      </c>
      <c r="Z69" s="18">
        <f t="shared" si="16"/>
        <v>2.0941935483870964</v>
      </c>
    </row>
    <row r="70" spans="1:26" x14ac:dyDescent="0.25">
      <c r="B70" t="s">
        <v>131</v>
      </c>
      <c r="C70" s="3" t="s">
        <v>125</v>
      </c>
      <c r="D70" s="3" t="s">
        <v>126</v>
      </c>
      <c r="E70" s="3" t="s">
        <v>35</v>
      </c>
      <c r="F70">
        <f>482+20</f>
        <v>502</v>
      </c>
      <c r="G70">
        <v>620</v>
      </c>
      <c r="H70" s="13">
        <v>80.967741935483872</v>
      </c>
      <c r="I70" s="13">
        <f>425+18</f>
        <v>443</v>
      </c>
      <c r="J70" s="13">
        <v>576</v>
      </c>
      <c r="K70" s="13">
        <v>90.81</v>
      </c>
      <c r="L70" s="13">
        <v>76.909722222222214</v>
      </c>
      <c r="M70" s="13">
        <f>188+6</f>
        <v>194</v>
      </c>
      <c r="N70" s="13">
        <v>280</v>
      </c>
      <c r="O70" s="13">
        <v>69.285714285714278</v>
      </c>
      <c r="P70">
        <f t="shared" si="10"/>
        <v>1139</v>
      </c>
      <c r="Q70">
        <f t="shared" si="10"/>
        <v>1476</v>
      </c>
      <c r="R70" s="14">
        <f t="shared" si="9"/>
        <v>77.168021680216796</v>
      </c>
      <c r="S70">
        <v>80.900000000000006</v>
      </c>
      <c r="T70" s="14">
        <f t="shared" si="11"/>
        <v>3.7319783197832095</v>
      </c>
      <c r="U70" s="15" t="str">
        <f t="shared" si="12"/>
        <v>No</v>
      </c>
      <c r="V70" s="19" t="str">
        <f t="shared" si="13"/>
        <v>Yes</v>
      </c>
      <c r="W70" s="15" t="str">
        <f t="shared" si="14"/>
        <v>No</v>
      </c>
      <c r="X70" s="15" t="str">
        <f t="shared" si="15"/>
        <v>No</v>
      </c>
      <c r="Z70" s="18">
        <f t="shared" si="16"/>
        <v>9.8422580645161304</v>
      </c>
    </row>
    <row r="71" spans="1:26" ht="15.75" thickBot="1" x14ac:dyDescent="0.3">
      <c r="B71" t="s">
        <v>132</v>
      </c>
      <c r="C71" s="3" t="s">
        <v>125</v>
      </c>
      <c r="D71" s="3" t="s">
        <v>126</v>
      </c>
      <c r="E71" s="3" t="s">
        <v>35</v>
      </c>
      <c r="F71">
        <f>418</f>
        <v>418</v>
      </c>
      <c r="G71">
        <v>620</v>
      </c>
      <c r="H71" s="13">
        <v>67.41935483870968</v>
      </c>
      <c r="I71" s="13">
        <v>394</v>
      </c>
      <c r="J71" s="13">
        <v>576</v>
      </c>
      <c r="K71" s="13">
        <v>69.349999999999994</v>
      </c>
      <c r="L71" s="13">
        <v>68.402777777777786</v>
      </c>
      <c r="M71" s="13">
        <f>0+142</f>
        <v>142</v>
      </c>
      <c r="N71" s="13">
        <v>280</v>
      </c>
      <c r="O71" s="13">
        <v>50.714285714285708</v>
      </c>
      <c r="P71">
        <f t="shared" si="10"/>
        <v>954</v>
      </c>
      <c r="Q71">
        <f t="shared" si="10"/>
        <v>1476</v>
      </c>
      <c r="R71" s="14">
        <f t="shared" si="9"/>
        <v>64.634146341463421</v>
      </c>
      <c r="S71">
        <v>61.9</v>
      </c>
      <c r="T71" s="14">
        <f t="shared" si="11"/>
        <v>-2.7341463414634219</v>
      </c>
      <c r="U71" s="16" t="str">
        <f t="shared" si="12"/>
        <v>Yes</v>
      </c>
      <c r="V71" s="16" t="str">
        <f t="shared" si="13"/>
        <v>Yes</v>
      </c>
      <c r="W71" s="16" t="str">
        <f t="shared" si="14"/>
        <v>Yes</v>
      </c>
      <c r="X71" s="17" t="str">
        <f t="shared" si="15"/>
        <v>No</v>
      </c>
      <c r="Z71" s="18">
        <f t="shared" si="16"/>
        <v>1.9306451612903146</v>
      </c>
    </row>
    <row r="72" spans="1:26" ht="16.5" thickTop="1" thickBot="1" x14ac:dyDescent="0.3">
      <c r="A72" s="1" t="s">
        <v>133</v>
      </c>
      <c r="B72" s="20" t="s">
        <v>134</v>
      </c>
      <c r="C72" s="3" t="s">
        <v>135</v>
      </c>
      <c r="D72" s="3" t="s">
        <v>136</v>
      </c>
      <c r="E72" s="3" t="s">
        <v>71</v>
      </c>
      <c r="F72">
        <v>28</v>
      </c>
      <c r="G72">
        <v>39</v>
      </c>
      <c r="H72" s="13">
        <v>71.794871794871796</v>
      </c>
      <c r="I72" s="13" t="s">
        <v>84</v>
      </c>
      <c r="J72" s="13" t="s">
        <v>84</v>
      </c>
      <c r="K72" s="13">
        <v>85.71</v>
      </c>
      <c r="L72" s="13" t="e">
        <v>#VALUE!</v>
      </c>
      <c r="M72" s="13">
        <v>9</v>
      </c>
      <c r="N72" s="13">
        <v>12</v>
      </c>
      <c r="O72" s="13">
        <v>75</v>
      </c>
      <c r="P72" s="21" t="e">
        <f t="shared" si="10"/>
        <v>#VALUE!</v>
      </c>
      <c r="Q72" s="21" t="e">
        <f t="shared" si="10"/>
        <v>#VALUE!</v>
      </c>
      <c r="R72" s="22" t="e">
        <f t="shared" si="9"/>
        <v>#VALUE!</v>
      </c>
      <c r="S72">
        <v>69.5</v>
      </c>
      <c r="T72" s="14" t="e">
        <f t="shared" si="11"/>
        <v>#VALUE!</v>
      </c>
      <c r="U72" s="23" t="e">
        <f t="shared" si="12"/>
        <v>#VALUE!</v>
      </c>
      <c r="V72" s="16" t="str">
        <f t="shared" si="13"/>
        <v>Yes</v>
      </c>
      <c r="W72" s="23" t="e">
        <f t="shared" si="14"/>
        <v>#VALUE!</v>
      </c>
      <c r="X72" s="23" t="str">
        <f t="shared" si="15"/>
        <v>Yes</v>
      </c>
      <c r="Z72" s="18">
        <f t="shared" si="16"/>
        <v>13.915128205128198</v>
      </c>
    </row>
    <row r="73" spans="1:26" ht="16.5" thickTop="1" thickBot="1" x14ac:dyDescent="0.3">
      <c r="A73" s="1" t="s">
        <v>137</v>
      </c>
      <c r="B73" t="s">
        <v>138</v>
      </c>
      <c r="C73" s="3" t="s">
        <v>135</v>
      </c>
      <c r="D73" s="3" t="s">
        <v>136</v>
      </c>
      <c r="E73" s="3" t="s">
        <v>71</v>
      </c>
      <c r="F73" s="3">
        <v>89</v>
      </c>
      <c r="G73" s="3">
        <v>371</v>
      </c>
      <c r="H73" s="13">
        <v>23.98921832884097</v>
      </c>
      <c r="I73" s="13">
        <v>165</v>
      </c>
      <c r="J73" s="13">
        <v>707</v>
      </c>
      <c r="K73" s="13" t="s">
        <v>54</v>
      </c>
      <c r="L73" s="13">
        <v>23.338048090523341</v>
      </c>
      <c r="M73" s="13">
        <v>34</v>
      </c>
      <c r="N73" s="13">
        <v>150</v>
      </c>
      <c r="O73" s="13">
        <v>22.666666666666664</v>
      </c>
      <c r="P73">
        <f t="shared" si="10"/>
        <v>288</v>
      </c>
      <c r="Q73">
        <f t="shared" si="10"/>
        <v>1228</v>
      </c>
      <c r="R73" s="14">
        <f>(1-(P73/Q73))*100</f>
        <v>76.54723127035831</v>
      </c>
      <c r="S73">
        <v>75.099999999999994</v>
      </c>
      <c r="T73" s="14">
        <f t="shared" si="11"/>
        <v>-1.4472312703583157</v>
      </c>
      <c r="U73" s="16" t="str">
        <f t="shared" si="12"/>
        <v>Yes</v>
      </c>
      <c r="V73" s="17" t="str">
        <f t="shared" si="13"/>
        <v>No</v>
      </c>
      <c r="W73" s="17" t="str">
        <f t="shared" si="14"/>
        <v>No</v>
      </c>
      <c r="X73" s="17" t="str">
        <f t="shared" si="15"/>
        <v>No</v>
      </c>
      <c r="Z73" s="18" t="e">
        <f t="shared" si="16"/>
        <v>#VALUE!</v>
      </c>
    </row>
    <row r="74" spans="1:26" ht="16.5" thickTop="1" thickBot="1" x14ac:dyDescent="0.3">
      <c r="A74" s="1" t="s">
        <v>139</v>
      </c>
      <c r="B74" s="20" t="s">
        <v>140</v>
      </c>
      <c r="C74" s="3" t="s">
        <v>141</v>
      </c>
      <c r="D74" s="3" t="s">
        <v>142</v>
      </c>
      <c r="E74" s="3" t="s">
        <v>71</v>
      </c>
      <c r="F74">
        <v>215</v>
      </c>
      <c r="G74">
        <v>424</v>
      </c>
      <c r="H74" s="13">
        <v>50.70754716981132</v>
      </c>
      <c r="I74" s="13" t="s">
        <v>84</v>
      </c>
      <c r="J74" s="13" t="s">
        <v>84</v>
      </c>
      <c r="K74" s="13">
        <v>57.78</v>
      </c>
      <c r="L74" s="13" t="e">
        <v>#VALUE!</v>
      </c>
      <c r="M74" s="13">
        <v>0</v>
      </c>
      <c r="N74" s="13">
        <v>0</v>
      </c>
      <c r="O74" s="13" t="e">
        <v>#DIV/0!</v>
      </c>
      <c r="P74" s="21" t="e">
        <f t="shared" si="10"/>
        <v>#VALUE!</v>
      </c>
      <c r="Q74" s="21" t="e">
        <f t="shared" si="10"/>
        <v>#VALUE!</v>
      </c>
      <c r="R74" s="22" t="e">
        <f t="shared" ref="R74:R137" si="17">P74/Q74*100</f>
        <v>#VALUE!</v>
      </c>
      <c r="S74">
        <v>52.3</v>
      </c>
      <c r="T74" s="14" t="e">
        <f t="shared" si="11"/>
        <v>#VALUE!</v>
      </c>
      <c r="U74" s="23" t="e">
        <f t="shared" si="12"/>
        <v>#VALUE!</v>
      </c>
      <c r="V74" s="15" t="str">
        <f t="shared" si="13"/>
        <v>No</v>
      </c>
      <c r="W74" s="23" t="e">
        <f t="shared" si="14"/>
        <v>#VALUE!</v>
      </c>
      <c r="X74" s="23" t="e">
        <f t="shared" si="15"/>
        <v>#DIV/0!</v>
      </c>
      <c r="Z74" s="18">
        <f t="shared" si="16"/>
        <v>7.0724528301886807</v>
      </c>
    </row>
    <row r="75" spans="1:26" ht="16.5" thickTop="1" thickBot="1" x14ac:dyDescent="0.3">
      <c r="B75" s="20" t="s">
        <v>143</v>
      </c>
      <c r="C75" s="3" t="s">
        <v>141</v>
      </c>
      <c r="D75" s="3" t="s">
        <v>142</v>
      </c>
      <c r="E75" s="3" t="s">
        <v>71</v>
      </c>
      <c r="F75">
        <v>136</v>
      </c>
      <c r="G75">
        <v>424</v>
      </c>
      <c r="H75" s="13">
        <v>32.075471698113205</v>
      </c>
      <c r="I75" s="13" t="s">
        <v>84</v>
      </c>
      <c r="J75" s="13" t="s">
        <v>84</v>
      </c>
      <c r="K75" s="13">
        <v>36.56</v>
      </c>
      <c r="L75" s="13" t="e">
        <v>#VALUE!</v>
      </c>
      <c r="M75" s="13">
        <v>0</v>
      </c>
      <c r="N75" s="13">
        <v>0</v>
      </c>
      <c r="O75" s="13" t="e">
        <v>#DIV/0!</v>
      </c>
      <c r="P75" s="21" t="e">
        <f t="shared" si="10"/>
        <v>#VALUE!</v>
      </c>
      <c r="Q75" s="21" t="e">
        <f t="shared" si="10"/>
        <v>#VALUE!</v>
      </c>
      <c r="R75" s="22" t="e">
        <f t="shared" si="17"/>
        <v>#VALUE!</v>
      </c>
      <c r="S75">
        <v>37.1</v>
      </c>
      <c r="T75" s="14" t="e">
        <f t="shared" si="11"/>
        <v>#VALUE!</v>
      </c>
      <c r="U75" s="24" t="e">
        <f t="shared" si="12"/>
        <v>#VALUE!</v>
      </c>
      <c r="V75" s="17" t="str">
        <f t="shared" si="13"/>
        <v>No</v>
      </c>
      <c r="W75" s="24" t="e">
        <f t="shared" si="14"/>
        <v>#VALUE!</v>
      </c>
      <c r="X75" s="23" t="e">
        <f t="shared" si="15"/>
        <v>#DIV/0!</v>
      </c>
      <c r="Z75" s="18">
        <f t="shared" si="16"/>
        <v>4.4845283018867974</v>
      </c>
    </row>
    <row r="76" spans="1:26" ht="16.5" thickTop="1" thickBot="1" x14ac:dyDescent="0.3">
      <c r="A76" s="1" t="s">
        <v>144</v>
      </c>
      <c r="B76" s="20" t="s">
        <v>145</v>
      </c>
      <c r="C76" s="3" t="s">
        <v>141</v>
      </c>
      <c r="D76" s="3" t="s">
        <v>142</v>
      </c>
      <c r="E76" s="3" t="s">
        <v>71</v>
      </c>
      <c r="F76">
        <v>147</v>
      </c>
      <c r="G76">
        <v>444</v>
      </c>
      <c r="H76" s="13">
        <v>33.108108108108105</v>
      </c>
      <c r="I76" s="13" t="s">
        <v>84</v>
      </c>
      <c r="J76" s="13" t="s">
        <v>84</v>
      </c>
      <c r="K76" s="13">
        <v>32.880000000000003</v>
      </c>
      <c r="L76" s="13" t="e">
        <v>#VALUE!</v>
      </c>
      <c r="M76" s="13">
        <v>0</v>
      </c>
      <c r="N76" s="13">
        <v>0</v>
      </c>
      <c r="O76" s="13" t="e">
        <v>#DIV/0!</v>
      </c>
      <c r="P76" s="21" t="e">
        <f t="shared" si="10"/>
        <v>#VALUE!</v>
      </c>
      <c r="Q76" s="21" t="e">
        <f t="shared" si="10"/>
        <v>#VALUE!</v>
      </c>
      <c r="R76" s="22" t="e">
        <f t="shared" si="17"/>
        <v>#VALUE!</v>
      </c>
      <c r="S76">
        <v>40.1</v>
      </c>
      <c r="T76" s="14" t="e">
        <f t="shared" si="11"/>
        <v>#VALUE!</v>
      </c>
      <c r="U76" s="24" t="e">
        <f t="shared" si="12"/>
        <v>#VALUE!</v>
      </c>
      <c r="V76" s="17" t="str">
        <f t="shared" si="13"/>
        <v>No</v>
      </c>
      <c r="W76" s="24" t="e">
        <f t="shared" si="14"/>
        <v>#VALUE!</v>
      </c>
      <c r="X76" s="23" t="e">
        <f t="shared" si="15"/>
        <v>#DIV/0!</v>
      </c>
      <c r="Z76" s="18">
        <f t="shared" si="16"/>
        <v>-0.22810810810810267</v>
      </c>
    </row>
    <row r="77" spans="1:26" ht="16.5" thickTop="1" thickBot="1" x14ac:dyDescent="0.3">
      <c r="B77" s="20" t="s">
        <v>146</v>
      </c>
      <c r="C77" s="3" t="s">
        <v>141</v>
      </c>
      <c r="D77" s="3" t="s">
        <v>142</v>
      </c>
      <c r="E77" s="3" t="s">
        <v>71</v>
      </c>
      <c r="F77">
        <v>42</v>
      </c>
      <c r="G77">
        <v>122</v>
      </c>
      <c r="H77" s="13">
        <v>34.42622950819672</v>
      </c>
      <c r="I77" s="13" t="s">
        <v>84</v>
      </c>
      <c r="J77" s="13" t="s">
        <v>84</v>
      </c>
      <c r="K77" s="13">
        <v>28.17</v>
      </c>
      <c r="L77" s="13" t="e">
        <v>#VALUE!</v>
      </c>
      <c r="M77" s="13">
        <v>0</v>
      </c>
      <c r="N77" s="13">
        <v>0</v>
      </c>
      <c r="O77" s="13" t="e">
        <v>#DIV/0!</v>
      </c>
      <c r="P77" s="21" t="e">
        <f t="shared" si="10"/>
        <v>#VALUE!</v>
      </c>
      <c r="Q77" s="21" t="e">
        <f t="shared" si="10"/>
        <v>#VALUE!</v>
      </c>
      <c r="R77" s="22" t="e">
        <f t="shared" si="17"/>
        <v>#VALUE!</v>
      </c>
      <c r="S77">
        <v>47.5</v>
      </c>
      <c r="T77" s="14" t="e">
        <f t="shared" si="11"/>
        <v>#VALUE!</v>
      </c>
      <c r="U77" s="24" t="e">
        <f t="shared" si="12"/>
        <v>#VALUE!</v>
      </c>
      <c r="V77" s="17" t="str">
        <f t="shared" si="13"/>
        <v>No</v>
      </c>
      <c r="W77" s="24" t="e">
        <f t="shared" si="14"/>
        <v>#VALUE!</v>
      </c>
      <c r="X77" s="23" t="e">
        <f t="shared" si="15"/>
        <v>#DIV/0!</v>
      </c>
      <c r="Z77" s="18">
        <f t="shared" si="16"/>
        <v>-6.2562295081967179</v>
      </c>
    </row>
    <row r="78" spans="1:26" ht="16.5" thickTop="1" thickBot="1" x14ac:dyDescent="0.3">
      <c r="A78" s="1" t="s">
        <v>147</v>
      </c>
      <c r="B78" s="20" t="s">
        <v>148</v>
      </c>
      <c r="C78" s="3" t="s">
        <v>141</v>
      </c>
      <c r="D78" s="3" t="s">
        <v>142</v>
      </c>
      <c r="E78" s="3" t="s">
        <v>84</v>
      </c>
      <c r="F78" t="s">
        <v>84</v>
      </c>
      <c r="G78" t="s">
        <v>84</v>
      </c>
      <c r="H78" s="13" t="e">
        <v>#VALUE!</v>
      </c>
      <c r="I78" s="13" t="s">
        <v>84</v>
      </c>
      <c r="J78" s="13" t="s">
        <v>84</v>
      </c>
      <c r="K78" s="3" t="s">
        <v>84</v>
      </c>
      <c r="L78" s="13" t="e">
        <v>#VALUE!</v>
      </c>
      <c r="M78" s="13" t="s">
        <v>84</v>
      </c>
      <c r="N78" s="13" t="s">
        <v>84</v>
      </c>
      <c r="O78" s="13" t="e">
        <v>#VALUE!</v>
      </c>
      <c r="P78" s="21" t="e">
        <f t="shared" si="10"/>
        <v>#VALUE!</v>
      </c>
      <c r="Q78" s="21" t="e">
        <f t="shared" si="10"/>
        <v>#VALUE!</v>
      </c>
      <c r="R78" s="22" t="e">
        <f t="shared" si="17"/>
        <v>#VALUE!</v>
      </c>
      <c r="S78">
        <v>63</v>
      </c>
      <c r="T78" s="14" t="e">
        <f t="shared" si="11"/>
        <v>#VALUE!</v>
      </c>
      <c r="U78" s="23" t="e">
        <f t="shared" si="12"/>
        <v>#VALUE!</v>
      </c>
      <c r="V78" s="23" t="e">
        <f t="shared" si="13"/>
        <v>#VALUE!</v>
      </c>
      <c r="W78" s="23" t="e">
        <f t="shared" si="14"/>
        <v>#VALUE!</v>
      </c>
      <c r="X78" s="24" t="e">
        <f t="shared" si="15"/>
        <v>#VALUE!</v>
      </c>
      <c r="Z78" s="18" t="e">
        <f t="shared" si="16"/>
        <v>#VALUE!</v>
      </c>
    </row>
    <row r="79" spans="1:26" ht="16.5" thickTop="1" thickBot="1" x14ac:dyDescent="0.3">
      <c r="B79" s="20" t="s">
        <v>149</v>
      </c>
      <c r="C79" s="3" t="s">
        <v>141</v>
      </c>
      <c r="D79" s="3" t="s">
        <v>142</v>
      </c>
      <c r="E79" s="3" t="s">
        <v>84</v>
      </c>
      <c r="F79" t="s">
        <v>84</v>
      </c>
      <c r="G79" t="s">
        <v>84</v>
      </c>
      <c r="H79" s="13" t="e">
        <v>#VALUE!</v>
      </c>
      <c r="I79" s="13" t="s">
        <v>84</v>
      </c>
      <c r="J79" s="13" t="s">
        <v>84</v>
      </c>
      <c r="K79" s="3" t="s">
        <v>84</v>
      </c>
      <c r="L79" s="13" t="e">
        <v>#VALUE!</v>
      </c>
      <c r="M79" s="13" t="s">
        <v>84</v>
      </c>
      <c r="N79" s="13" t="s">
        <v>84</v>
      </c>
      <c r="O79" s="13" t="e">
        <v>#VALUE!</v>
      </c>
      <c r="P79" s="21" t="e">
        <f t="shared" si="10"/>
        <v>#VALUE!</v>
      </c>
      <c r="Q79" s="21" t="e">
        <f t="shared" si="10"/>
        <v>#VALUE!</v>
      </c>
      <c r="R79" s="22" t="e">
        <f t="shared" si="17"/>
        <v>#VALUE!</v>
      </c>
      <c r="S79">
        <v>43.9</v>
      </c>
      <c r="T79" s="14" t="e">
        <f t="shared" si="11"/>
        <v>#VALUE!</v>
      </c>
      <c r="U79" s="24" t="e">
        <f t="shared" si="12"/>
        <v>#VALUE!</v>
      </c>
      <c r="V79" s="23" t="e">
        <f t="shared" si="13"/>
        <v>#VALUE!</v>
      </c>
      <c r="W79" s="24" t="e">
        <f t="shared" si="14"/>
        <v>#VALUE!</v>
      </c>
      <c r="X79" s="23" t="e">
        <f t="shared" si="15"/>
        <v>#VALUE!</v>
      </c>
      <c r="Z79" s="18" t="e">
        <f t="shared" si="16"/>
        <v>#VALUE!</v>
      </c>
    </row>
    <row r="80" spans="1:26" ht="31.5" thickTop="1" thickBot="1" x14ac:dyDescent="0.3">
      <c r="A80" s="1" t="s">
        <v>150</v>
      </c>
      <c r="B80" s="20" t="s">
        <v>151</v>
      </c>
      <c r="C80" s="3" t="s">
        <v>141</v>
      </c>
      <c r="D80" s="3" t="s">
        <v>142</v>
      </c>
      <c r="E80" s="3" t="s">
        <v>71</v>
      </c>
      <c r="F80">
        <v>130</v>
      </c>
      <c r="G80">
        <v>146</v>
      </c>
      <c r="H80" s="13">
        <v>89.041095890410958</v>
      </c>
      <c r="I80" s="13" t="s">
        <v>84</v>
      </c>
      <c r="J80" s="13" t="s">
        <v>84</v>
      </c>
      <c r="K80" s="13">
        <v>88.64</v>
      </c>
      <c r="L80" s="13" t="e">
        <v>#VALUE!</v>
      </c>
      <c r="M80" s="13">
        <v>27</v>
      </c>
      <c r="N80" s="13">
        <v>34</v>
      </c>
      <c r="O80" s="13">
        <v>79.411764705882348</v>
      </c>
      <c r="P80" s="21" t="e">
        <f t="shared" si="10"/>
        <v>#VALUE!</v>
      </c>
      <c r="Q80" s="21" t="e">
        <f t="shared" si="10"/>
        <v>#VALUE!</v>
      </c>
      <c r="R80" s="22" t="e">
        <f t="shared" si="17"/>
        <v>#VALUE!</v>
      </c>
      <c r="S80">
        <v>79.8</v>
      </c>
      <c r="T80" s="14" t="e">
        <f t="shared" si="11"/>
        <v>#VALUE!</v>
      </c>
      <c r="U80" s="24" t="e">
        <f t="shared" si="12"/>
        <v>#VALUE!</v>
      </c>
      <c r="V80" s="16" t="str">
        <f t="shared" si="13"/>
        <v>Yes</v>
      </c>
      <c r="W80" s="24" t="e">
        <f t="shared" si="14"/>
        <v>#VALUE!</v>
      </c>
      <c r="X80" s="15" t="str">
        <f t="shared" si="15"/>
        <v>No</v>
      </c>
      <c r="Z80" s="18">
        <f t="shared" si="16"/>
        <v>-0.40109589041095717</v>
      </c>
    </row>
    <row r="81" spans="1:26" ht="16.5" thickTop="1" thickBot="1" x14ac:dyDescent="0.3">
      <c r="A81" s="1" t="s">
        <v>152</v>
      </c>
      <c r="B81" s="20" t="s">
        <v>153</v>
      </c>
      <c r="C81" s="3" t="s">
        <v>141</v>
      </c>
      <c r="D81" s="3" t="s">
        <v>142</v>
      </c>
      <c r="E81" s="3" t="s">
        <v>71</v>
      </c>
      <c r="F81">
        <v>41</v>
      </c>
      <c r="G81">
        <v>58</v>
      </c>
      <c r="H81" s="13">
        <v>70.689655172413794</v>
      </c>
      <c r="I81" s="13" t="s">
        <v>84</v>
      </c>
      <c r="J81" s="13" t="s">
        <v>84</v>
      </c>
      <c r="K81" s="13">
        <v>59.7</v>
      </c>
      <c r="L81" s="13" t="e">
        <v>#VALUE!</v>
      </c>
      <c r="M81" s="13">
        <v>6</v>
      </c>
      <c r="N81" s="13">
        <v>16</v>
      </c>
      <c r="O81" s="13">
        <v>37.5</v>
      </c>
      <c r="P81" s="21" t="e">
        <f t="shared" si="10"/>
        <v>#VALUE!</v>
      </c>
      <c r="Q81" s="21" t="e">
        <f t="shared" si="10"/>
        <v>#VALUE!</v>
      </c>
      <c r="R81" s="22" t="e">
        <f t="shared" si="17"/>
        <v>#VALUE!</v>
      </c>
      <c r="S81">
        <v>69.3</v>
      </c>
      <c r="T81" s="14" t="e">
        <f t="shared" si="11"/>
        <v>#VALUE!</v>
      </c>
      <c r="U81" s="24" t="e">
        <f t="shared" si="12"/>
        <v>#VALUE!</v>
      </c>
      <c r="V81" s="16" t="str">
        <f t="shared" si="13"/>
        <v>Yes</v>
      </c>
      <c r="W81" s="24" t="e">
        <f t="shared" si="14"/>
        <v>#VALUE!</v>
      </c>
      <c r="X81" s="24" t="str">
        <f t="shared" si="15"/>
        <v>No</v>
      </c>
      <c r="Z81" s="18">
        <f t="shared" si="16"/>
        <v>-10.989655172413791</v>
      </c>
    </row>
    <row r="82" spans="1:26" ht="31.5" thickTop="1" thickBot="1" x14ac:dyDescent="0.3">
      <c r="A82" s="1" t="s">
        <v>154</v>
      </c>
      <c r="B82" s="20" t="s">
        <v>155</v>
      </c>
      <c r="C82" s="3" t="s">
        <v>141</v>
      </c>
      <c r="D82" s="3" t="s">
        <v>142</v>
      </c>
      <c r="E82" s="3" t="s">
        <v>71</v>
      </c>
      <c r="F82" s="21">
        <v>4</v>
      </c>
      <c r="G82" s="21">
        <v>6</v>
      </c>
      <c r="H82" s="13">
        <v>66.666666666666657</v>
      </c>
      <c r="I82" s="13" t="s">
        <v>84</v>
      </c>
      <c r="J82" s="13" t="s">
        <v>84</v>
      </c>
      <c r="K82" s="13">
        <v>85.71</v>
      </c>
      <c r="L82" s="13" t="e">
        <v>#VALUE!</v>
      </c>
      <c r="M82" s="13">
        <v>1</v>
      </c>
      <c r="N82" s="13">
        <v>1</v>
      </c>
      <c r="O82" s="13">
        <v>100</v>
      </c>
      <c r="P82" s="21" t="e">
        <f t="shared" si="10"/>
        <v>#VALUE!</v>
      </c>
      <c r="Q82" s="21" t="e">
        <f t="shared" si="10"/>
        <v>#VALUE!</v>
      </c>
      <c r="R82" s="22" t="e">
        <f t="shared" si="17"/>
        <v>#VALUE!</v>
      </c>
      <c r="S82">
        <v>76.2</v>
      </c>
      <c r="T82" s="14" t="e">
        <f t="shared" si="11"/>
        <v>#VALUE!</v>
      </c>
      <c r="U82" s="23" t="e">
        <f t="shared" si="12"/>
        <v>#VALUE!</v>
      </c>
      <c r="V82" s="23" t="str">
        <f t="shared" si="13"/>
        <v>No</v>
      </c>
      <c r="W82" s="23" t="e">
        <f t="shared" si="14"/>
        <v>#VALUE!</v>
      </c>
      <c r="X82" s="23" t="str">
        <f t="shared" si="15"/>
        <v>Yes</v>
      </c>
      <c r="Z82" s="18">
        <f t="shared" si="16"/>
        <v>19.043333333333337</v>
      </c>
    </row>
    <row r="83" spans="1:26" ht="16.5" thickTop="1" thickBot="1" x14ac:dyDescent="0.3">
      <c r="A83" s="1" t="s">
        <v>156</v>
      </c>
      <c r="B83" s="20" t="s">
        <v>157</v>
      </c>
      <c r="C83" s="3" t="s">
        <v>141</v>
      </c>
      <c r="D83" s="3" t="s">
        <v>142</v>
      </c>
      <c r="E83" s="3" t="s">
        <v>71</v>
      </c>
      <c r="F83">
        <v>89</v>
      </c>
      <c r="G83">
        <v>135</v>
      </c>
      <c r="H83" s="13">
        <v>65.925925925925924</v>
      </c>
      <c r="I83" s="13" t="s">
        <v>84</v>
      </c>
      <c r="J83" s="13" t="s">
        <v>84</v>
      </c>
      <c r="K83" s="13">
        <v>61.94</v>
      </c>
      <c r="L83" s="13" t="e">
        <v>#VALUE!</v>
      </c>
      <c r="M83" s="13">
        <v>1</v>
      </c>
      <c r="N83" s="13">
        <v>2</v>
      </c>
      <c r="O83" s="13">
        <v>50</v>
      </c>
      <c r="P83" s="21" t="e">
        <f t="shared" si="10"/>
        <v>#VALUE!</v>
      </c>
      <c r="Q83" s="21" t="e">
        <f t="shared" si="10"/>
        <v>#VALUE!</v>
      </c>
      <c r="R83" s="22" t="e">
        <f t="shared" si="17"/>
        <v>#VALUE!</v>
      </c>
      <c r="S83">
        <v>60.1</v>
      </c>
      <c r="T83" s="14" t="e">
        <f t="shared" si="11"/>
        <v>#VALUE!</v>
      </c>
      <c r="U83" s="23" t="e">
        <f t="shared" si="12"/>
        <v>#VALUE!</v>
      </c>
      <c r="V83" s="16" t="str">
        <f t="shared" si="13"/>
        <v>Yes</v>
      </c>
      <c r="W83" s="23" t="e">
        <f t="shared" si="14"/>
        <v>#VALUE!</v>
      </c>
      <c r="X83" s="23" t="str">
        <f t="shared" si="15"/>
        <v>No</v>
      </c>
      <c r="Z83" s="18">
        <f t="shared" si="16"/>
        <v>-3.9859259259259261</v>
      </c>
    </row>
    <row r="84" spans="1:26" ht="16.5" thickTop="1" thickBot="1" x14ac:dyDescent="0.3">
      <c r="A84" s="1" t="s">
        <v>158</v>
      </c>
      <c r="B84" s="20" t="s">
        <v>159</v>
      </c>
      <c r="C84" s="3" t="s">
        <v>141</v>
      </c>
      <c r="D84" s="3" t="s">
        <v>142</v>
      </c>
      <c r="E84" s="3" t="s">
        <v>71</v>
      </c>
      <c r="F84" s="21">
        <v>0</v>
      </c>
      <c r="G84" s="21">
        <v>12</v>
      </c>
      <c r="H84" s="13">
        <v>0</v>
      </c>
      <c r="I84" s="13" t="s">
        <v>84</v>
      </c>
      <c r="J84" s="13" t="s">
        <v>84</v>
      </c>
      <c r="K84" s="13" t="s">
        <v>54</v>
      </c>
      <c r="L84" s="13" t="e">
        <v>#VALUE!</v>
      </c>
      <c r="M84" s="13">
        <v>0</v>
      </c>
      <c r="N84" s="13">
        <v>0</v>
      </c>
      <c r="O84" s="13" t="e">
        <v>#DIV/0!</v>
      </c>
      <c r="P84" s="21" t="e">
        <f t="shared" si="10"/>
        <v>#VALUE!</v>
      </c>
      <c r="Q84" s="21" t="e">
        <f t="shared" si="10"/>
        <v>#VALUE!</v>
      </c>
      <c r="R84" s="22" t="e">
        <f t="shared" si="17"/>
        <v>#VALUE!</v>
      </c>
      <c r="S84" t="s">
        <v>54</v>
      </c>
      <c r="T84" s="14" t="e">
        <f t="shared" si="11"/>
        <v>#VALUE!</v>
      </c>
      <c r="U84" s="23" t="e">
        <f t="shared" si="12"/>
        <v>#VALUE!</v>
      </c>
      <c r="V84" s="23" t="str">
        <f t="shared" si="13"/>
        <v>No</v>
      </c>
      <c r="W84" s="23" t="e">
        <f t="shared" si="14"/>
        <v>#VALUE!</v>
      </c>
      <c r="X84" s="23" t="e">
        <f t="shared" si="15"/>
        <v>#DIV/0!</v>
      </c>
      <c r="Z84" s="18" t="e">
        <f t="shared" si="16"/>
        <v>#VALUE!</v>
      </c>
    </row>
    <row r="85" spans="1:26" ht="16.5" thickTop="1" thickBot="1" x14ac:dyDescent="0.3">
      <c r="B85" s="20" t="s">
        <v>160</v>
      </c>
      <c r="C85" s="3" t="s">
        <v>141</v>
      </c>
      <c r="D85" s="3" t="s">
        <v>142</v>
      </c>
      <c r="E85" s="3" t="s">
        <v>71</v>
      </c>
      <c r="F85">
        <v>8</v>
      </c>
      <c r="G85">
        <v>243</v>
      </c>
      <c r="H85" s="13">
        <v>3.2921810699588478</v>
      </c>
      <c r="I85" s="13" t="s">
        <v>84</v>
      </c>
      <c r="J85" s="13" t="s">
        <v>84</v>
      </c>
      <c r="K85" s="13" t="s">
        <v>54</v>
      </c>
      <c r="L85" s="13" t="e">
        <v>#VALUE!</v>
      </c>
      <c r="M85" s="13">
        <v>0</v>
      </c>
      <c r="N85" s="13">
        <v>0</v>
      </c>
      <c r="O85" s="13" t="e">
        <v>#DIV/0!</v>
      </c>
      <c r="P85" s="21" t="e">
        <f t="shared" si="10"/>
        <v>#VALUE!</v>
      </c>
      <c r="Q85" s="21" t="e">
        <f t="shared" si="10"/>
        <v>#VALUE!</v>
      </c>
      <c r="R85" s="22" t="e">
        <f t="shared" si="17"/>
        <v>#VALUE!</v>
      </c>
      <c r="S85" t="s">
        <v>54</v>
      </c>
      <c r="T85" s="14" t="e">
        <f t="shared" si="11"/>
        <v>#VALUE!</v>
      </c>
      <c r="U85" s="23" t="e">
        <f t="shared" si="12"/>
        <v>#VALUE!</v>
      </c>
      <c r="V85" s="17" t="str">
        <f t="shared" si="13"/>
        <v>No</v>
      </c>
      <c r="W85" s="23" t="e">
        <f t="shared" si="14"/>
        <v>#VALUE!</v>
      </c>
      <c r="X85" s="23" t="e">
        <f t="shared" si="15"/>
        <v>#DIV/0!</v>
      </c>
      <c r="Z85" s="18" t="e">
        <f t="shared" si="16"/>
        <v>#VALUE!</v>
      </c>
    </row>
    <row r="86" spans="1:26" ht="16.5" thickTop="1" thickBot="1" x14ac:dyDescent="0.3">
      <c r="B86" s="20" t="s">
        <v>161</v>
      </c>
      <c r="C86" s="3" t="s">
        <v>141</v>
      </c>
      <c r="D86" s="3" t="s">
        <v>142</v>
      </c>
      <c r="E86" s="3" t="s">
        <v>71</v>
      </c>
      <c r="F86">
        <v>14</v>
      </c>
      <c r="G86">
        <v>326</v>
      </c>
      <c r="H86" s="13">
        <v>4.294478527607362</v>
      </c>
      <c r="I86" s="13" t="s">
        <v>84</v>
      </c>
      <c r="J86" s="13" t="s">
        <v>84</v>
      </c>
      <c r="K86" s="13" t="s">
        <v>54</v>
      </c>
      <c r="L86" s="13" t="e">
        <v>#VALUE!</v>
      </c>
      <c r="M86" s="13">
        <v>0</v>
      </c>
      <c r="N86" s="13">
        <v>0</v>
      </c>
      <c r="O86" s="13" t="e">
        <v>#DIV/0!</v>
      </c>
      <c r="P86" s="21" t="e">
        <f t="shared" si="10"/>
        <v>#VALUE!</v>
      </c>
      <c r="Q86" s="21" t="e">
        <f t="shared" si="10"/>
        <v>#VALUE!</v>
      </c>
      <c r="R86" s="22" t="e">
        <f t="shared" si="17"/>
        <v>#VALUE!</v>
      </c>
      <c r="S86" t="s">
        <v>54</v>
      </c>
      <c r="T86" s="14" t="e">
        <f t="shared" si="11"/>
        <v>#VALUE!</v>
      </c>
      <c r="U86" s="23" t="e">
        <f t="shared" si="12"/>
        <v>#VALUE!</v>
      </c>
      <c r="V86" s="17" t="str">
        <f t="shared" si="13"/>
        <v>No</v>
      </c>
      <c r="W86" s="23" t="e">
        <f t="shared" si="14"/>
        <v>#VALUE!</v>
      </c>
      <c r="X86" s="23" t="e">
        <f t="shared" si="15"/>
        <v>#DIV/0!</v>
      </c>
      <c r="Z86" s="18" t="e">
        <f t="shared" si="16"/>
        <v>#VALUE!</v>
      </c>
    </row>
    <row r="87" spans="1:26" ht="16.5" thickTop="1" thickBot="1" x14ac:dyDescent="0.3">
      <c r="B87" s="20" t="s">
        <v>162</v>
      </c>
      <c r="C87" s="3" t="s">
        <v>141</v>
      </c>
      <c r="D87" s="3" t="s">
        <v>142</v>
      </c>
      <c r="E87" s="3" t="s">
        <v>71</v>
      </c>
      <c r="F87">
        <v>22</v>
      </c>
      <c r="G87">
        <v>581</v>
      </c>
      <c r="H87" s="13">
        <v>3.7865748709122204</v>
      </c>
      <c r="I87" s="13" t="s">
        <v>84</v>
      </c>
      <c r="J87" s="13" t="s">
        <v>84</v>
      </c>
      <c r="K87" s="13" t="s">
        <v>54</v>
      </c>
      <c r="L87" s="13" t="e">
        <v>#VALUE!</v>
      </c>
      <c r="M87" s="13">
        <v>0</v>
      </c>
      <c r="N87" s="13">
        <v>0</v>
      </c>
      <c r="O87" s="13" t="e">
        <v>#DIV/0!</v>
      </c>
      <c r="P87" s="21" t="e">
        <f t="shared" si="10"/>
        <v>#VALUE!</v>
      </c>
      <c r="Q87" s="21" t="e">
        <f t="shared" si="10"/>
        <v>#VALUE!</v>
      </c>
      <c r="R87" s="22" t="e">
        <f t="shared" si="17"/>
        <v>#VALUE!</v>
      </c>
      <c r="S87" t="s">
        <v>54</v>
      </c>
      <c r="T87" s="14" t="e">
        <f t="shared" si="11"/>
        <v>#VALUE!</v>
      </c>
      <c r="U87" s="23" t="e">
        <f t="shared" si="12"/>
        <v>#VALUE!</v>
      </c>
      <c r="V87" s="17" t="str">
        <f t="shared" si="13"/>
        <v>No</v>
      </c>
      <c r="W87" s="23" t="e">
        <f t="shared" si="14"/>
        <v>#VALUE!</v>
      </c>
      <c r="X87" s="23" t="e">
        <f t="shared" si="15"/>
        <v>#DIV/0!</v>
      </c>
      <c r="Z87" s="18" t="e">
        <f t="shared" si="16"/>
        <v>#VALUE!</v>
      </c>
    </row>
    <row r="88" spans="1:26" ht="16.5" thickTop="1" thickBot="1" x14ac:dyDescent="0.3">
      <c r="A88" s="1" t="s">
        <v>163</v>
      </c>
      <c r="B88" s="20" t="s">
        <v>164</v>
      </c>
      <c r="C88" s="3" t="s">
        <v>141</v>
      </c>
      <c r="D88" s="3" t="s">
        <v>142</v>
      </c>
      <c r="E88" s="3" t="s">
        <v>71</v>
      </c>
      <c r="F88" s="21">
        <v>0</v>
      </c>
      <c r="G88" s="21">
        <v>16</v>
      </c>
      <c r="H88" s="13">
        <v>0</v>
      </c>
      <c r="I88" s="13" t="s">
        <v>84</v>
      </c>
      <c r="J88" s="13" t="s">
        <v>84</v>
      </c>
      <c r="K88" s="13">
        <v>0</v>
      </c>
      <c r="L88" s="13" t="e">
        <v>#VALUE!</v>
      </c>
      <c r="M88" s="13">
        <v>0</v>
      </c>
      <c r="N88" s="13">
        <v>0</v>
      </c>
      <c r="O88" s="13" t="e">
        <v>#DIV/0!</v>
      </c>
      <c r="P88" s="21" t="e">
        <f t="shared" si="10"/>
        <v>#VALUE!</v>
      </c>
      <c r="Q88" s="21" t="e">
        <f t="shared" si="10"/>
        <v>#VALUE!</v>
      </c>
      <c r="R88" s="22" t="e">
        <f t="shared" si="17"/>
        <v>#VALUE!</v>
      </c>
      <c r="S88" t="s">
        <v>54</v>
      </c>
      <c r="T88" s="14" t="e">
        <f t="shared" si="11"/>
        <v>#VALUE!</v>
      </c>
      <c r="U88" s="23" t="e">
        <f t="shared" si="12"/>
        <v>#VALUE!</v>
      </c>
      <c r="V88" s="23" t="str">
        <f t="shared" si="13"/>
        <v>No</v>
      </c>
      <c r="W88" s="23" t="e">
        <f t="shared" si="14"/>
        <v>#VALUE!</v>
      </c>
      <c r="X88" s="23" t="e">
        <f t="shared" si="15"/>
        <v>#DIV/0!</v>
      </c>
      <c r="Z88" s="18">
        <f t="shared" si="16"/>
        <v>0</v>
      </c>
    </row>
    <row r="89" spans="1:26" ht="16.5" thickTop="1" thickBot="1" x14ac:dyDescent="0.3">
      <c r="B89" s="20" t="s">
        <v>165</v>
      </c>
      <c r="C89" s="3" t="s">
        <v>141</v>
      </c>
      <c r="D89" s="3" t="s">
        <v>142</v>
      </c>
      <c r="E89" s="3" t="s">
        <v>71</v>
      </c>
      <c r="F89">
        <v>30</v>
      </c>
      <c r="G89">
        <v>293</v>
      </c>
      <c r="H89" s="13">
        <v>10.238907849829351</v>
      </c>
      <c r="I89" s="13" t="s">
        <v>84</v>
      </c>
      <c r="J89" s="13" t="s">
        <v>84</v>
      </c>
      <c r="K89" s="13">
        <v>13.1</v>
      </c>
      <c r="L89" s="13" t="e">
        <v>#VALUE!</v>
      </c>
      <c r="M89" s="13">
        <v>1</v>
      </c>
      <c r="N89" s="13">
        <v>16</v>
      </c>
      <c r="O89" s="13">
        <v>6.25</v>
      </c>
      <c r="P89" s="21" t="e">
        <f t="shared" si="10"/>
        <v>#VALUE!</v>
      </c>
      <c r="Q89" s="21" t="e">
        <f t="shared" si="10"/>
        <v>#VALUE!</v>
      </c>
      <c r="R89" s="22" t="e">
        <f t="shared" si="17"/>
        <v>#VALUE!</v>
      </c>
      <c r="S89" t="s">
        <v>54</v>
      </c>
      <c r="T89" s="14" t="e">
        <f t="shared" si="11"/>
        <v>#VALUE!</v>
      </c>
      <c r="U89" s="23" t="e">
        <f t="shared" si="12"/>
        <v>#VALUE!</v>
      </c>
      <c r="V89" s="17" t="str">
        <f t="shared" si="13"/>
        <v>No</v>
      </c>
      <c r="W89" s="23" t="e">
        <f t="shared" si="14"/>
        <v>#VALUE!</v>
      </c>
      <c r="X89" s="23" t="str">
        <f t="shared" si="15"/>
        <v>No</v>
      </c>
      <c r="Z89" s="18">
        <f t="shared" si="16"/>
        <v>2.8610921501706486</v>
      </c>
    </row>
    <row r="90" spans="1:26" ht="16.5" thickTop="1" thickBot="1" x14ac:dyDescent="0.3">
      <c r="B90" s="20" t="s">
        <v>166</v>
      </c>
      <c r="C90" s="3" t="s">
        <v>141</v>
      </c>
      <c r="D90" s="3" t="s">
        <v>142</v>
      </c>
      <c r="E90" s="3" t="s">
        <v>71</v>
      </c>
      <c r="F90">
        <v>58</v>
      </c>
      <c r="G90">
        <v>403</v>
      </c>
      <c r="H90" s="13">
        <v>14.392059553349876</v>
      </c>
      <c r="I90" s="13" t="s">
        <v>84</v>
      </c>
      <c r="J90" s="13" t="s">
        <v>84</v>
      </c>
      <c r="K90" s="13">
        <v>17.45</v>
      </c>
      <c r="L90" s="13" t="e">
        <v>#VALUE!</v>
      </c>
      <c r="M90" s="13">
        <v>4</v>
      </c>
      <c r="N90" s="13">
        <v>18</v>
      </c>
      <c r="O90" s="13">
        <v>22.222222222222221</v>
      </c>
      <c r="P90" s="21" t="e">
        <f t="shared" si="10"/>
        <v>#VALUE!</v>
      </c>
      <c r="Q90" s="21" t="e">
        <f t="shared" si="10"/>
        <v>#VALUE!</v>
      </c>
      <c r="R90" s="22" t="e">
        <f t="shared" si="17"/>
        <v>#VALUE!</v>
      </c>
      <c r="S90" t="s">
        <v>54</v>
      </c>
      <c r="T90" s="14" t="e">
        <f t="shared" si="11"/>
        <v>#VALUE!</v>
      </c>
      <c r="U90" s="24" t="e">
        <f t="shared" si="12"/>
        <v>#VALUE!</v>
      </c>
      <c r="V90" s="15" t="str">
        <f t="shared" si="13"/>
        <v>No</v>
      </c>
      <c r="W90" s="24" t="e">
        <f t="shared" si="14"/>
        <v>#VALUE!</v>
      </c>
      <c r="X90" s="24" t="str">
        <f t="shared" si="15"/>
        <v>No</v>
      </c>
      <c r="Z90" s="18">
        <f t="shared" si="16"/>
        <v>3.0579404466501234</v>
      </c>
    </row>
    <row r="91" spans="1:26" ht="16.5" thickTop="1" thickBot="1" x14ac:dyDescent="0.3">
      <c r="B91" s="20" t="s">
        <v>167</v>
      </c>
      <c r="C91" s="3" t="s">
        <v>141</v>
      </c>
      <c r="D91" s="3" t="s">
        <v>142</v>
      </c>
      <c r="E91" s="3" t="s">
        <v>71</v>
      </c>
      <c r="F91">
        <v>88</v>
      </c>
      <c r="G91">
        <v>712</v>
      </c>
      <c r="H91" s="13">
        <v>12.359550561797752</v>
      </c>
      <c r="I91" s="13" t="s">
        <v>84</v>
      </c>
      <c r="J91" s="13" t="s">
        <v>84</v>
      </c>
      <c r="K91" s="13">
        <v>15.55</v>
      </c>
      <c r="L91" s="13" t="e">
        <v>#VALUE!</v>
      </c>
      <c r="M91" s="13">
        <v>5</v>
      </c>
      <c r="N91" s="13">
        <v>34</v>
      </c>
      <c r="O91" s="13">
        <v>14.705882352941178</v>
      </c>
      <c r="P91" s="21" t="e">
        <f t="shared" si="10"/>
        <v>#VALUE!</v>
      </c>
      <c r="Q91" s="21" t="e">
        <f t="shared" si="10"/>
        <v>#VALUE!</v>
      </c>
      <c r="R91" s="22" t="e">
        <f t="shared" si="17"/>
        <v>#VALUE!</v>
      </c>
      <c r="S91" t="s">
        <v>54</v>
      </c>
      <c r="T91" s="14" t="e">
        <f t="shared" si="11"/>
        <v>#VALUE!</v>
      </c>
      <c r="U91" s="24" t="e">
        <f t="shared" si="12"/>
        <v>#VALUE!</v>
      </c>
      <c r="V91" s="15" t="str">
        <f t="shared" si="13"/>
        <v>No</v>
      </c>
      <c r="W91" s="24" t="e">
        <f t="shared" si="14"/>
        <v>#VALUE!</v>
      </c>
      <c r="X91" s="15" t="str">
        <f t="shared" si="15"/>
        <v>No</v>
      </c>
      <c r="Z91" s="18">
        <f t="shared" si="16"/>
        <v>3.1904494382022488</v>
      </c>
    </row>
    <row r="92" spans="1:26" ht="16.5" thickTop="1" thickBot="1" x14ac:dyDescent="0.3">
      <c r="A92" s="1" t="s">
        <v>168</v>
      </c>
      <c r="B92" s="20" t="s">
        <v>169</v>
      </c>
      <c r="C92" s="3" t="s">
        <v>170</v>
      </c>
      <c r="D92" s="3" t="s">
        <v>171</v>
      </c>
      <c r="E92" s="3" t="s">
        <v>71</v>
      </c>
      <c r="F92">
        <v>774</v>
      </c>
      <c r="G92">
        <v>864</v>
      </c>
      <c r="H92" s="13">
        <v>89.583333333333343</v>
      </c>
      <c r="I92" s="13" t="s">
        <v>84</v>
      </c>
      <c r="J92" s="13" t="s">
        <v>84</v>
      </c>
      <c r="K92" s="13">
        <v>91.51</v>
      </c>
      <c r="L92" s="13" t="e">
        <v>#VALUE!</v>
      </c>
      <c r="M92" s="13">
        <v>0</v>
      </c>
      <c r="N92" s="13">
        <v>0</v>
      </c>
      <c r="O92" s="13" t="e">
        <v>#DIV/0!</v>
      </c>
      <c r="P92" s="21" t="e">
        <f t="shared" si="10"/>
        <v>#VALUE!</v>
      </c>
      <c r="Q92" s="21" t="e">
        <f t="shared" si="10"/>
        <v>#VALUE!</v>
      </c>
      <c r="R92" s="22" t="e">
        <f t="shared" si="17"/>
        <v>#VALUE!</v>
      </c>
      <c r="S92">
        <v>87.2</v>
      </c>
      <c r="T92" s="14" t="e">
        <f t="shared" si="11"/>
        <v>#VALUE!</v>
      </c>
      <c r="U92" s="24" t="e">
        <f t="shared" si="12"/>
        <v>#VALUE!</v>
      </c>
      <c r="V92" s="19" t="str">
        <f t="shared" si="13"/>
        <v>Yes</v>
      </c>
      <c r="W92" s="24" t="e">
        <f t="shared" si="14"/>
        <v>#VALUE!</v>
      </c>
      <c r="X92" s="24" t="e">
        <f t="shared" si="15"/>
        <v>#DIV/0!</v>
      </c>
      <c r="Z92" s="18">
        <f t="shared" si="16"/>
        <v>1.9266666666666623</v>
      </c>
    </row>
    <row r="93" spans="1:26" ht="16.5" thickTop="1" thickBot="1" x14ac:dyDescent="0.3">
      <c r="B93" s="20" t="s">
        <v>172</v>
      </c>
      <c r="C93" s="3" t="s">
        <v>170</v>
      </c>
      <c r="D93" s="3" t="s">
        <v>171</v>
      </c>
      <c r="E93" s="3" t="s">
        <v>71</v>
      </c>
      <c r="F93" s="21">
        <v>7</v>
      </c>
      <c r="G93" s="21">
        <v>24</v>
      </c>
      <c r="H93" s="13">
        <v>29.166666666666668</v>
      </c>
      <c r="I93" s="13" t="s">
        <v>84</v>
      </c>
      <c r="J93" s="13" t="s">
        <v>84</v>
      </c>
      <c r="K93" s="13">
        <v>27.78</v>
      </c>
      <c r="L93" s="13" t="e">
        <v>#VALUE!</v>
      </c>
      <c r="M93" s="13">
        <v>0</v>
      </c>
      <c r="N93" s="13">
        <v>0</v>
      </c>
      <c r="O93" s="13" t="e">
        <v>#DIV/0!</v>
      </c>
      <c r="P93" s="21" t="e">
        <f t="shared" si="10"/>
        <v>#VALUE!</v>
      </c>
      <c r="Q93" s="21" t="e">
        <f t="shared" si="10"/>
        <v>#VALUE!</v>
      </c>
      <c r="R93" s="22" t="e">
        <f t="shared" si="17"/>
        <v>#VALUE!</v>
      </c>
      <c r="S93">
        <v>54</v>
      </c>
      <c r="T93" s="14" t="e">
        <f t="shared" si="11"/>
        <v>#VALUE!</v>
      </c>
      <c r="U93" s="24" t="e">
        <f t="shared" si="12"/>
        <v>#VALUE!</v>
      </c>
      <c r="V93" s="23" t="str">
        <f t="shared" si="13"/>
        <v>No</v>
      </c>
      <c r="W93" s="24" t="e">
        <f t="shared" si="14"/>
        <v>#VALUE!</v>
      </c>
      <c r="X93" s="24" t="e">
        <f t="shared" si="15"/>
        <v>#DIV/0!</v>
      </c>
      <c r="Z93" s="18">
        <f t="shared" si="16"/>
        <v>-1.3866666666666667</v>
      </c>
    </row>
    <row r="94" spans="1:26" ht="16.5" thickTop="1" thickBot="1" x14ac:dyDescent="0.3">
      <c r="B94" s="20" t="s">
        <v>173</v>
      </c>
      <c r="C94" s="3" t="s">
        <v>170</v>
      </c>
      <c r="D94" s="3" t="s">
        <v>171</v>
      </c>
      <c r="E94" s="3" t="s">
        <v>71</v>
      </c>
      <c r="F94">
        <v>579</v>
      </c>
      <c r="G94">
        <v>661</v>
      </c>
      <c r="H94" s="13">
        <v>87.594553706505295</v>
      </c>
      <c r="I94" s="13" t="s">
        <v>84</v>
      </c>
      <c r="J94" s="13" t="s">
        <v>84</v>
      </c>
      <c r="K94" s="13">
        <v>91.4</v>
      </c>
      <c r="L94" s="13" t="e">
        <v>#VALUE!</v>
      </c>
      <c r="M94" s="13">
        <v>0</v>
      </c>
      <c r="N94" s="13">
        <v>0</v>
      </c>
      <c r="O94" s="13" t="e">
        <v>#DIV/0!</v>
      </c>
      <c r="P94" s="21" t="e">
        <f t="shared" si="10"/>
        <v>#VALUE!</v>
      </c>
      <c r="Q94" s="21" t="e">
        <f t="shared" si="10"/>
        <v>#VALUE!</v>
      </c>
      <c r="R94" s="22" t="e">
        <f t="shared" si="17"/>
        <v>#VALUE!</v>
      </c>
      <c r="S94">
        <v>86.9</v>
      </c>
      <c r="T94" s="14" t="e">
        <f t="shared" si="11"/>
        <v>#VALUE!</v>
      </c>
      <c r="U94" s="24" t="e">
        <f t="shared" si="12"/>
        <v>#VALUE!</v>
      </c>
      <c r="V94" s="19" t="str">
        <f t="shared" si="13"/>
        <v>Yes</v>
      </c>
      <c r="W94" s="24" t="e">
        <f t="shared" si="14"/>
        <v>#VALUE!</v>
      </c>
      <c r="X94" s="24" t="e">
        <f t="shared" si="15"/>
        <v>#DIV/0!</v>
      </c>
      <c r="Z94" s="18">
        <f t="shared" si="16"/>
        <v>3.8054462934947111</v>
      </c>
    </row>
    <row r="95" spans="1:26" ht="16.5" thickTop="1" thickBot="1" x14ac:dyDescent="0.3">
      <c r="B95" s="20" t="s">
        <v>174</v>
      </c>
      <c r="C95" s="3" t="s">
        <v>170</v>
      </c>
      <c r="D95" s="3" t="s">
        <v>171</v>
      </c>
      <c r="E95" s="3" t="s">
        <v>71</v>
      </c>
      <c r="F95">
        <v>1360</v>
      </c>
      <c r="G95">
        <v>1549</v>
      </c>
      <c r="H95" s="13">
        <v>87.798579728857334</v>
      </c>
      <c r="I95" s="13" t="s">
        <v>84</v>
      </c>
      <c r="J95" s="13" t="s">
        <v>84</v>
      </c>
      <c r="K95" s="13">
        <v>90.74</v>
      </c>
      <c r="L95" s="13" t="e">
        <v>#VALUE!</v>
      </c>
      <c r="M95" s="13">
        <v>0</v>
      </c>
      <c r="N95" s="13">
        <v>0</v>
      </c>
      <c r="O95" s="13" t="e">
        <v>#DIV/0!</v>
      </c>
      <c r="P95" s="21" t="e">
        <f t="shared" si="10"/>
        <v>#VALUE!</v>
      </c>
      <c r="Q95" s="21" t="e">
        <f t="shared" si="10"/>
        <v>#VALUE!</v>
      </c>
      <c r="R95" s="22" t="e">
        <f t="shared" si="17"/>
        <v>#VALUE!</v>
      </c>
      <c r="S95">
        <v>86.8</v>
      </c>
      <c r="T95" s="14" t="e">
        <f t="shared" si="11"/>
        <v>#VALUE!</v>
      </c>
      <c r="U95" s="24" t="e">
        <f t="shared" si="12"/>
        <v>#VALUE!</v>
      </c>
      <c r="V95" s="19" t="str">
        <f t="shared" si="13"/>
        <v>Yes</v>
      </c>
      <c r="W95" s="24" t="e">
        <f t="shared" si="14"/>
        <v>#VALUE!</v>
      </c>
      <c r="X95" s="24" t="e">
        <f t="shared" si="15"/>
        <v>#DIV/0!</v>
      </c>
      <c r="Z95" s="18">
        <f t="shared" si="16"/>
        <v>2.9414202711426611</v>
      </c>
    </row>
    <row r="96" spans="1:26" ht="15.75" thickTop="1" x14ac:dyDescent="0.25">
      <c r="A96" s="1" t="s">
        <v>175</v>
      </c>
      <c r="B96" t="s">
        <v>176</v>
      </c>
      <c r="C96" s="3" t="s">
        <v>177</v>
      </c>
      <c r="D96" s="3" t="s">
        <v>178</v>
      </c>
      <c r="E96" s="3" t="s">
        <v>71</v>
      </c>
      <c r="F96">
        <v>3890</v>
      </c>
      <c r="G96">
        <v>4482</v>
      </c>
      <c r="H96" s="13">
        <v>86.791610887996427</v>
      </c>
      <c r="I96" s="13">
        <v>6539</v>
      </c>
      <c r="J96" s="13">
        <v>7285</v>
      </c>
      <c r="K96" s="13">
        <v>87.04</v>
      </c>
      <c r="L96" s="13">
        <v>89.759780370624583</v>
      </c>
      <c r="M96" s="13">
        <v>1183</v>
      </c>
      <c r="N96" s="13">
        <v>1315</v>
      </c>
      <c r="O96" s="13">
        <v>89.961977186311799</v>
      </c>
      <c r="P96">
        <f t="shared" si="10"/>
        <v>11612</v>
      </c>
      <c r="Q96">
        <f t="shared" si="10"/>
        <v>13082</v>
      </c>
      <c r="R96" s="14">
        <f t="shared" si="17"/>
        <v>88.763186057177805</v>
      </c>
      <c r="S96" t="s">
        <v>54</v>
      </c>
      <c r="T96" s="14" t="e">
        <f t="shared" si="11"/>
        <v>#VALUE!</v>
      </c>
      <c r="U96" s="15" t="str">
        <f t="shared" si="12"/>
        <v>No</v>
      </c>
      <c r="V96" s="15" t="str">
        <f t="shared" si="13"/>
        <v>No</v>
      </c>
      <c r="W96" s="15" t="str">
        <f t="shared" si="14"/>
        <v>No</v>
      </c>
      <c r="X96" s="15" t="str">
        <f t="shared" si="15"/>
        <v>No</v>
      </c>
      <c r="Z96" s="18">
        <f t="shared" si="16"/>
        <v>0.24838911200357927</v>
      </c>
    </row>
    <row r="97" spans="1:26" x14ac:dyDescent="0.25">
      <c r="B97" t="s">
        <v>179</v>
      </c>
      <c r="C97" s="3" t="s">
        <v>177</v>
      </c>
      <c r="D97" s="3" t="s">
        <v>178</v>
      </c>
      <c r="E97" s="3" t="s">
        <v>71</v>
      </c>
      <c r="F97">
        <v>2040</v>
      </c>
      <c r="G97">
        <v>2220</v>
      </c>
      <c r="H97" s="13">
        <v>91.891891891891902</v>
      </c>
      <c r="I97" s="13">
        <v>2851</v>
      </c>
      <c r="J97" s="13">
        <v>3098</v>
      </c>
      <c r="K97" s="13">
        <v>92.6</v>
      </c>
      <c r="L97" s="13">
        <v>92.027114267269212</v>
      </c>
      <c r="M97" s="13">
        <v>546</v>
      </c>
      <c r="N97" s="13">
        <v>607</v>
      </c>
      <c r="O97" s="13">
        <v>89.950576606260299</v>
      </c>
      <c r="P97">
        <f t="shared" si="10"/>
        <v>5437</v>
      </c>
      <c r="Q97">
        <f t="shared" si="10"/>
        <v>5925</v>
      </c>
      <c r="R97" s="14">
        <f t="shared" si="17"/>
        <v>91.76371308016877</v>
      </c>
      <c r="S97" t="s">
        <v>54</v>
      </c>
      <c r="T97" s="14" t="e">
        <f t="shared" si="11"/>
        <v>#VALUE!</v>
      </c>
      <c r="U97" s="15" t="str">
        <f t="shared" si="12"/>
        <v>No</v>
      </c>
      <c r="V97" s="15" t="str">
        <f t="shared" si="13"/>
        <v>No</v>
      </c>
      <c r="W97" s="15" t="str">
        <f t="shared" si="14"/>
        <v>No</v>
      </c>
      <c r="X97" s="15" t="str">
        <f t="shared" si="15"/>
        <v>No</v>
      </c>
      <c r="Z97" s="18">
        <f t="shared" si="16"/>
        <v>0.70810810810809244</v>
      </c>
    </row>
    <row r="98" spans="1:26" x14ac:dyDescent="0.25">
      <c r="B98" t="s">
        <v>180</v>
      </c>
      <c r="C98" s="3" t="s">
        <v>177</v>
      </c>
      <c r="D98" s="3" t="s">
        <v>178</v>
      </c>
      <c r="E98" s="3" t="s">
        <v>71</v>
      </c>
      <c r="F98">
        <v>366</v>
      </c>
      <c r="G98">
        <v>401</v>
      </c>
      <c r="H98" s="13">
        <v>91.271820448877804</v>
      </c>
      <c r="I98" s="13">
        <v>438</v>
      </c>
      <c r="J98" s="13">
        <v>484</v>
      </c>
      <c r="K98" s="13">
        <v>93.13</v>
      </c>
      <c r="L98" s="13">
        <v>90.495867768595033</v>
      </c>
      <c r="M98" s="13">
        <v>78</v>
      </c>
      <c r="N98" s="13">
        <v>85</v>
      </c>
      <c r="O98" s="13">
        <v>91.764705882352942</v>
      </c>
      <c r="P98">
        <f t="shared" si="10"/>
        <v>882</v>
      </c>
      <c r="Q98">
        <f t="shared" si="10"/>
        <v>970</v>
      </c>
      <c r="R98" s="14">
        <f t="shared" si="17"/>
        <v>90.927835051546396</v>
      </c>
      <c r="S98" t="s">
        <v>54</v>
      </c>
      <c r="T98" s="14" t="e">
        <f t="shared" si="11"/>
        <v>#VALUE!</v>
      </c>
      <c r="U98" s="15" t="str">
        <f t="shared" si="12"/>
        <v>No</v>
      </c>
      <c r="V98" s="15" t="str">
        <f t="shared" si="13"/>
        <v>No</v>
      </c>
      <c r="W98" s="15" t="str">
        <f t="shared" si="14"/>
        <v>No</v>
      </c>
      <c r="X98" s="15" t="str">
        <f t="shared" si="15"/>
        <v>No</v>
      </c>
      <c r="Z98" s="18">
        <f t="shared" si="16"/>
        <v>1.8581795511221912</v>
      </c>
    </row>
    <row r="99" spans="1:26" x14ac:dyDescent="0.25">
      <c r="B99" t="s">
        <v>181</v>
      </c>
      <c r="C99" s="3" t="s">
        <v>177</v>
      </c>
      <c r="D99" s="3" t="s">
        <v>178</v>
      </c>
      <c r="E99" s="3" t="s">
        <v>71</v>
      </c>
      <c r="F99">
        <v>6296</v>
      </c>
      <c r="G99">
        <v>7103</v>
      </c>
      <c r="H99" s="13">
        <v>88.638603407011118</v>
      </c>
      <c r="I99" s="13">
        <v>9828</v>
      </c>
      <c r="J99" s="13">
        <v>10867</v>
      </c>
      <c r="K99" s="13">
        <v>89.14</v>
      </c>
      <c r="L99" s="13">
        <v>90.438943590687401</v>
      </c>
      <c r="M99" s="13">
        <v>1807</v>
      </c>
      <c r="N99" s="13">
        <v>2007</v>
      </c>
      <c r="O99" s="13">
        <v>90.034877927254612</v>
      </c>
      <c r="P99">
        <f t="shared" ref="P99:Q130" si="18">F99+I99+M99</f>
        <v>17931</v>
      </c>
      <c r="Q99">
        <f t="shared" si="18"/>
        <v>19977</v>
      </c>
      <c r="R99" s="14">
        <f t="shared" si="17"/>
        <v>89.758221955248544</v>
      </c>
      <c r="S99" t="s">
        <v>54</v>
      </c>
      <c r="T99" s="14" t="e">
        <f t="shared" si="11"/>
        <v>#VALUE!</v>
      </c>
      <c r="U99" s="15" t="str">
        <f t="shared" si="12"/>
        <v>No</v>
      </c>
      <c r="V99" s="15" t="str">
        <f t="shared" si="13"/>
        <v>No</v>
      </c>
      <c r="W99" s="15" t="str">
        <f t="shared" si="14"/>
        <v>No</v>
      </c>
      <c r="X99" s="15" t="str">
        <f t="shared" si="15"/>
        <v>No</v>
      </c>
      <c r="Z99" s="18">
        <f t="shared" si="16"/>
        <v>0.50139659298888262</v>
      </c>
    </row>
    <row r="100" spans="1:26" x14ac:dyDescent="0.25">
      <c r="A100" s="1" t="s">
        <v>182</v>
      </c>
      <c r="B100" s="25" t="s">
        <v>183</v>
      </c>
      <c r="C100" s="3" t="s">
        <v>177</v>
      </c>
      <c r="D100" s="3" t="s">
        <v>178</v>
      </c>
      <c r="E100" s="25" t="s">
        <v>71</v>
      </c>
      <c r="F100">
        <v>2406</v>
      </c>
      <c r="G100">
        <v>2473</v>
      </c>
      <c r="H100" s="13">
        <v>97.290739991912659</v>
      </c>
      <c r="I100" s="13">
        <v>4965</v>
      </c>
      <c r="J100" s="13">
        <v>5071</v>
      </c>
      <c r="K100" s="13">
        <v>98.17</v>
      </c>
      <c r="L100" s="13">
        <v>97.909682508380996</v>
      </c>
      <c r="M100" s="13">
        <v>971</v>
      </c>
      <c r="N100" s="13">
        <v>1028</v>
      </c>
      <c r="O100" s="13">
        <v>94.45525291828794</v>
      </c>
      <c r="P100">
        <f t="shared" si="18"/>
        <v>8342</v>
      </c>
      <c r="Q100">
        <f t="shared" si="18"/>
        <v>8572</v>
      </c>
      <c r="R100" s="26">
        <f t="shared" si="17"/>
        <v>97.316845543630421</v>
      </c>
      <c r="S100" s="25">
        <v>95.5</v>
      </c>
      <c r="T100" s="14">
        <f t="shared" si="11"/>
        <v>-1.8168455436304214</v>
      </c>
      <c r="U100" s="16" t="str">
        <f t="shared" si="12"/>
        <v>Yes</v>
      </c>
      <c r="V100" s="16" t="str">
        <f t="shared" si="13"/>
        <v>Yes</v>
      </c>
      <c r="W100" s="16" t="str">
        <f t="shared" si="14"/>
        <v>Yes</v>
      </c>
      <c r="X100" s="17" t="str">
        <f t="shared" si="15"/>
        <v>No</v>
      </c>
      <c r="Z100" s="18">
        <f t="shared" si="16"/>
        <v>0.87926000808734273</v>
      </c>
    </row>
    <row r="101" spans="1:26" x14ac:dyDescent="0.25">
      <c r="B101" s="25" t="s">
        <v>184</v>
      </c>
      <c r="C101" s="3" t="s">
        <v>177</v>
      </c>
      <c r="D101" s="3" t="s">
        <v>178</v>
      </c>
      <c r="E101" s="25" t="s">
        <v>71</v>
      </c>
      <c r="F101">
        <v>9611</v>
      </c>
      <c r="G101">
        <v>10419</v>
      </c>
      <c r="H101" s="13">
        <v>92.244937134081965</v>
      </c>
      <c r="I101" s="13">
        <v>17245</v>
      </c>
      <c r="J101" s="13">
        <v>18912</v>
      </c>
      <c r="K101" s="13">
        <v>91.88</v>
      </c>
      <c r="L101" s="13">
        <v>91.185490693739425</v>
      </c>
      <c r="M101" s="13">
        <v>2970</v>
      </c>
      <c r="N101" s="13">
        <v>3518</v>
      </c>
      <c r="O101" s="13">
        <v>84.422967595224563</v>
      </c>
      <c r="P101">
        <f t="shared" si="18"/>
        <v>29826</v>
      </c>
      <c r="Q101">
        <f t="shared" si="18"/>
        <v>32849</v>
      </c>
      <c r="R101" s="26">
        <f t="shared" si="17"/>
        <v>90.797284544430582</v>
      </c>
      <c r="S101" s="25">
        <v>87.8</v>
      </c>
      <c r="T101" s="14">
        <f t="shared" si="11"/>
        <v>-2.9972845444305847</v>
      </c>
      <c r="U101" s="16" t="str">
        <f t="shared" si="12"/>
        <v>Yes</v>
      </c>
      <c r="V101" s="19" t="str">
        <f t="shared" si="13"/>
        <v>Yes</v>
      </c>
      <c r="W101" s="19" t="str">
        <f t="shared" si="14"/>
        <v>Yes</v>
      </c>
      <c r="X101" s="15" t="str">
        <f t="shared" si="15"/>
        <v>No</v>
      </c>
      <c r="Z101" s="18">
        <f t="shared" si="16"/>
        <v>-0.36493713408196982</v>
      </c>
    </row>
    <row r="102" spans="1:26" x14ac:dyDescent="0.25">
      <c r="B102" s="25" t="s">
        <v>185</v>
      </c>
      <c r="C102" s="3" t="s">
        <v>177</v>
      </c>
      <c r="D102" s="3" t="s">
        <v>178</v>
      </c>
      <c r="E102" s="25" t="s">
        <v>71</v>
      </c>
      <c r="F102">
        <v>6963</v>
      </c>
      <c r="G102">
        <v>7580</v>
      </c>
      <c r="H102" s="13">
        <v>91.860158311345643</v>
      </c>
      <c r="I102" s="13">
        <v>12550</v>
      </c>
      <c r="J102" s="13">
        <v>13728</v>
      </c>
      <c r="K102" s="13">
        <v>91.96</v>
      </c>
      <c r="L102" s="13">
        <v>91.418997668997676</v>
      </c>
      <c r="M102" s="13">
        <v>2081</v>
      </c>
      <c r="N102" s="13">
        <v>2488</v>
      </c>
      <c r="O102" s="13">
        <v>83.641479099678463</v>
      </c>
      <c r="P102">
        <f t="shared" si="18"/>
        <v>21594</v>
      </c>
      <c r="Q102">
        <f t="shared" si="18"/>
        <v>23796</v>
      </c>
      <c r="R102" s="26">
        <f t="shared" si="17"/>
        <v>90.746343923348462</v>
      </c>
      <c r="S102" s="25">
        <v>91</v>
      </c>
      <c r="T102" s="14">
        <f t="shared" si="11"/>
        <v>0.25365607665153789</v>
      </c>
      <c r="U102" s="15" t="str">
        <f t="shared" si="12"/>
        <v>No</v>
      </c>
      <c r="V102" s="19" t="str">
        <f t="shared" si="13"/>
        <v>Yes</v>
      </c>
      <c r="W102" s="19" t="str">
        <f t="shared" si="14"/>
        <v>Yes</v>
      </c>
      <c r="X102" s="15" t="str">
        <f t="shared" si="15"/>
        <v>No</v>
      </c>
      <c r="Z102" s="18">
        <f t="shared" si="16"/>
        <v>9.9841688654350946E-2</v>
      </c>
    </row>
    <row r="103" spans="1:26" ht="15.75" thickBot="1" x14ac:dyDescent="0.3">
      <c r="B103" s="25" t="s">
        <v>186</v>
      </c>
      <c r="C103" s="3" t="s">
        <v>177</v>
      </c>
      <c r="D103" s="3" t="s">
        <v>178</v>
      </c>
      <c r="E103" s="25" t="s">
        <v>71</v>
      </c>
      <c r="F103">
        <v>7081</v>
      </c>
      <c r="G103">
        <v>7535</v>
      </c>
      <c r="H103" s="13">
        <v>93.974784339747842</v>
      </c>
      <c r="I103" s="13">
        <v>12916</v>
      </c>
      <c r="J103" s="13">
        <v>13772</v>
      </c>
      <c r="K103" s="13">
        <v>94.07</v>
      </c>
      <c r="L103" s="13">
        <v>93.784490270113281</v>
      </c>
      <c r="M103" s="13">
        <v>2395</v>
      </c>
      <c r="N103" s="13">
        <v>2665</v>
      </c>
      <c r="O103" s="13">
        <v>89.868667917448406</v>
      </c>
      <c r="P103">
        <f t="shared" si="18"/>
        <v>22392</v>
      </c>
      <c r="Q103">
        <f t="shared" si="18"/>
        <v>23972</v>
      </c>
      <c r="R103" s="26">
        <f t="shared" si="17"/>
        <v>93.408977139996665</v>
      </c>
      <c r="S103" s="25">
        <v>89.3</v>
      </c>
      <c r="T103" s="14">
        <f t="shared" si="11"/>
        <v>-4.1089771399966679</v>
      </c>
      <c r="U103" s="16" t="str">
        <f t="shared" si="12"/>
        <v>Yes</v>
      </c>
      <c r="V103" s="19" t="str">
        <f t="shared" si="13"/>
        <v>Yes</v>
      </c>
      <c r="W103" s="19" t="str">
        <f t="shared" si="14"/>
        <v>Yes</v>
      </c>
      <c r="X103" s="19" t="str">
        <f t="shared" si="15"/>
        <v>Yes</v>
      </c>
      <c r="Z103" s="18">
        <f t="shared" si="16"/>
        <v>9.5215660252151224E-2</v>
      </c>
    </row>
    <row r="104" spans="1:26" ht="16.5" thickTop="1" thickBot="1" x14ac:dyDescent="0.3">
      <c r="A104" s="1" t="s">
        <v>187</v>
      </c>
      <c r="B104" s="20" t="s">
        <v>188</v>
      </c>
      <c r="C104" s="3" t="s">
        <v>177</v>
      </c>
      <c r="D104" s="3" t="s">
        <v>178</v>
      </c>
      <c r="E104" s="3" t="s">
        <v>84</v>
      </c>
      <c r="F104" s="21" t="s">
        <v>84</v>
      </c>
      <c r="G104" s="21" t="s">
        <v>84</v>
      </c>
      <c r="H104" s="13" t="e">
        <v>#VALUE!</v>
      </c>
      <c r="I104" s="13" t="s">
        <v>84</v>
      </c>
      <c r="J104" s="13" t="s">
        <v>84</v>
      </c>
      <c r="K104" s="3" t="s">
        <v>84</v>
      </c>
      <c r="L104" s="13" t="e">
        <v>#VALUE!</v>
      </c>
      <c r="M104" s="13" t="s">
        <v>84</v>
      </c>
      <c r="N104" s="13" t="s">
        <v>84</v>
      </c>
      <c r="O104" s="13" t="e">
        <v>#VALUE!</v>
      </c>
      <c r="P104" s="21" t="e">
        <f t="shared" si="18"/>
        <v>#VALUE!</v>
      </c>
      <c r="Q104" s="21" t="e">
        <f t="shared" si="18"/>
        <v>#VALUE!</v>
      </c>
      <c r="R104" s="22" t="e">
        <f t="shared" si="17"/>
        <v>#VALUE!</v>
      </c>
      <c r="S104">
        <v>35.6</v>
      </c>
      <c r="T104" s="14" t="e">
        <f t="shared" si="11"/>
        <v>#VALUE!</v>
      </c>
      <c r="U104" s="24" t="e">
        <f t="shared" si="12"/>
        <v>#VALUE!</v>
      </c>
      <c r="V104" s="23" t="e">
        <f t="shared" si="13"/>
        <v>#VALUE!</v>
      </c>
      <c r="W104" s="24" t="e">
        <f t="shared" si="14"/>
        <v>#VALUE!</v>
      </c>
      <c r="X104" s="24" t="e">
        <f t="shared" si="15"/>
        <v>#VALUE!</v>
      </c>
      <c r="Z104" s="18" t="e">
        <f t="shared" si="16"/>
        <v>#VALUE!</v>
      </c>
    </row>
    <row r="105" spans="1:26" ht="16.5" thickTop="1" thickBot="1" x14ac:dyDescent="0.3">
      <c r="B105" s="20" t="s">
        <v>189</v>
      </c>
      <c r="C105" s="3" t="s">
        <v>177</v>
      </c>
      <c r="D105" s="3" t="s">
        <v>178</v>
      </c>
      <c r="E105" s="3" t="s">
        <v>84</v>
      </c>
      <c r="F105" s="21" t="s">
        <v>84</v>
      </c>
      <c r="G105" s="21" t="s">
        <v>84</v>
      </c>
      <c r="H105" s="13" t="e">
        <v>#VALUE!</v>
      </c>
      <c r="I105" s="13" t="s">
        <v>84</v>
      </c>
      <c r="J105" s="13" t="s">
        <v>84</v>
      </c>
      <c r="K105" s="3" t="s">
        <v>84</v>
      </c>
      <c r="L105" s="13" t="e">
        <v>#VALUE!</v>
      </c>
      <c r="M105" s="13" t="s">
        <v>84</v>
      </c>
      <c r="N105" s="13" t="s">
        <v>84</v>
      </c>
      <c r="O105" s="13" t="e">
        <v>#VALUE!</v>
      </c>
      <c r="P105" s="21" t="e">
        <f t="shared" si="18"/>
        <v>#VALUE!</v>
      </c>
      <c r="Q105" s="21" t="e">
        <f t="shared" si="18"/>
        <v>#VALUE!</v>
      </c>
      <c r="R105" s="22" t="e">
        <f t="shared" si="17"/>
        <v>#VALUE!</v>
      </c>
      <c r="S105">
        <v>57</v>
      </c>
      <c r="T105" s="14" t="e">
        <f t="shared" si="11"/>
        <v>#VALUE!</v>
      </c>
      <c r="U105" s="23" t="e">
        <f t="shared" si="12"/>
        <v>#VALUE!</v>
      </c>
      <c r="V105" s="23" t="e">
        <f t="shared" si="13"/>
        <v>#VALUE!</v>
      </c>
      <c r="W105" s="23" t="e">
        <f t="shared" si="14"/>
        <v>#VALUE!</v>
      </c>
      <c r="X105" s="23" t="e">
        <f t="shared" si="15"/>
        <v>#VALUE!</v>
      </c>
      <c r="Z105" s="18" t="e">
        <f t="shared" si="16"/>
        <v>#VALUE!</v>
      </c>
    </row>
    <row r="106" spans="1:26" ht="16.5" thickTop="1" thickBot="1" x14ac:dyDescent="0.3">
      <c r="B106" s="20" t="s">
        <v>190</v>
      </c>
      <c r="C106" s="3" t="s">
        <v>177</v>
      </c>
      <c r="D106" s="3" t="s">
        <v>178</v>
      </c>
      <c r="E106" s="3" t="s">
        <v>84</v>
      </c>
      <c r="F106" s="21" t="s">
        <v>84</v>
      </c>
      <c r="G106" s="21" t="s">
        <v>84</v>
      </c>
      <c r="H106" s="13" t="e">
        <v>#VALUE!</v>
      </c>
      <c r="I106" s="13" t="s">
        <v>84</v>
      </c>
      <c r="J106" s="13" t="s">
        <v>84</v>
      </c>
      <c r="K106" s="3" t="s">
        <v>84</v>
      </c>
      <c r="L106" s="13" t="e">
        <v>#VALUE!</v>
      </c>
      <c r="M106" s="13" t="s">
        <v>84</v>
      </c>
      <c r="N106" s="13" t="s">
        <v>84</v>
      </c>
      <c r="O106" s="13" t="e">
        <v>#VALUE!</v>
      </c>
      <c r="P106" s="21" t="e">
        <f t="shared" si="18"/>
        <v>#VALUE!</v>
      </c>
      <c r="Q106" s="21" t="e">
        <f t="shared" si="18"/>
        <v>#VALUE!</v>
      </c>
      <c r="R106" s="22" t="e">
        <f t="shared" si="17"/>
        <v>#VALUE!</v>
      </c>
      <c r="S106">
        <v>59.7</v>
      </c>
      <c r="T106" s="14" t="e">
        <f t="shared" si="11"/>
        <v>#VALUE!</v>
      </c>
      <c r="U106" s="24" t="e">
        <f t="shared" si="12"/>
        <v>#VALUE!</v>
      </c>
      <c r="V106" s="24" t="e">
        <f t="shared" si="13"/>
        <v>#VALUE!</v>
      </c>
      <c r="W106" s="24" t="e">
        <f t="shared" si="14"/>
        <v>#VALUE!</v>
      </c>
      <c r="X106" s="24" t="e">
        <f t="shared" si="15"/>
        <v>#VALUE!</v>
      </c>
      <c r="Z106" s="18" t="e">
        <f t="shared" si="16"/>
        <v>#VALUE!</v>
      </c>
    </row>
    <row r="107" spans="1:26" ht="16.5" thickTop="1" thickBot="1" x14ac:dyDescent="0.3">
      <c r="B107" s="20" t="s">
        <v>191</v>
      </c>
      <c r="C107" s="3" t="s">
        <v>177</v>
      </c>
      <c r="D107" s="3" t="s">
        <v>178</v>
      </c>
      <c r="E107" s="3" t="s">
        <v>84</v>
      </c>
      <c r="F107" s="21" t="s">
        <v>84</v>
      </c>
      <c r="G107" s="21" t="s">
        <v>84</v>
      </c>
      <c r="H107" s="13" t="e">
        <v>#VALUE!</v>
      </c>
      <c r="I107" s="13" t="s">
        <v>84</v>
      </c>
      <c r="J107" s="13" t="s">
        <v>84</v>
      </c>
      <c r="K107" s="3" t="s">
        <v>84</v>
      </c>
      <c r="L107" s="13" t="e">
        <v>#VALUE!</v>
      </c>
      <c r="M107" s="13" t="s">
        <v>84</v>
      </c>
      <c r="N107" s="13" t="s">
        <v>84</v>
      </c>
      <c r="O107" s="13" t="e">
        <v>#VALUE!</v>
      </c>
      <c r="P107" s="21" t="e">
        <f t="shared" si="18"/>
        <v>#VALUE!</v>
      </c>
      <c r="Q107" s="21" t="e">
        <f t="shared" si="18"/>
        <v>#VALUE!</v>
      </c>
      <c r="R107" s="22" t="e">
        <f t="shared" si="17"/>
        <v>#VALUE!</v>
      </c>
      <c r="S107">
        <v>54.8</v>
      </c>
      <c r="T107" s="14" t="e">
        <f t="shared" si="11"/>
        <v>#VALUE!</v>
      </c>
      <c r="U107" s="23" t="e">
        <f t="shared" si="12"/>
        <v>#VALUE!</v>
      </c>
      <c r="V107" s="23" t="e">
        <f t="shared" si="13"/>
        <v>#VALUE!</v>
      </c>
      <c r="W107" s="23" t="e">
        <f t="shared" si="14"/>
        <v>#VALUE!</v>
      </c>
      <c r="X107" s="23" t="e">
        <f t="shared" si="15"/>
        <v>#VALUE!</v>
      </c>
      <c r="Z107" s="18" t="e">
        <f t="shared" si="16"/>
        <v>#VALUE!</v>
      </c>
    </row>
    <row r="108" spans="1:26" ht="16.5" thickTop="1" thickBot="1" x14ac:dyDescent="0.3">
      <c r="B108" s="20" t="s">
        <v>192</v>
      </c>
      <c r="C108" s="3" t="s">
        <v>177</v>
      </c>
      <c r="D108" s="3" t="s">
        <v>178</v>
      </c>
      <c r="E108" s="3" t="s">
        <v>84</v>
      </c>
      <c r="F108" s="21" t="s">
        <v>84</v>
      </c>
      <c r="G108" s="21" t="s">
        <v>84</v>
      </c>
      <c r="H108" s="13" t="e">
        <v>#VALUE!</v>
      </c>
      <c r="I108" s="13" t="s">
        <v>84</v>
      </c>
      <c r="J108" s="13" t="s">
        <v>84</v>
      </c>
      <c r="K108" s="3" t="s">
        <v>84</v>
      </c>
      <c r="L108" s="13" t="e">
        <v>#VALUE!</v>
      </c>
      <c r="M108" s="13" t="s">
        <v>84</v>
      </c>
      <c r="N108" s="13" t="s">
        <v>84</v>
      </c>
      <c r="O108" s="13" t="e">
        <v>#VALUE!</v>
      </c>
      <c r="P108" s="21" t="e">
        <f t="shared" si="18"/>
        <v>#VALUE!</v>
      </c>
      <c r="Q108" s="21" t="e">
        <f t="shared" si="18"/>
        <v>#VALUE!</v>
      </c>
      <c r="R108" s="22" t="e">
        <f t="shared" si="17"/>
        <v>#VALUE!</v>
      </c>
      <c r="S108">
        <v>46.8</v>
      </c>
      <c r="T108" s="14" t="e">
        <f t="shared" si="11"/>
        <v>#VALUE!</v>
      </c>
      <c r="U108" s="23" t="e">
        <f t="shared" si="12"/>
        <v>#VALUE!</v>
      </c>
      <c r="V108" s="23" t="e">
        <f t="shared" si="13"/>
        <v>#VALUE!</v>
      </c>
      <c r="W108" s="23" t="e">
        <f t="shared" si="14"/>
        <v>#VALUE!</v>
      </c>
      <c r="X108" s="23" t="e">
        <f t="shared" si="15"/>
        <v>#VALUE!</v>
      </c>
      <c r="Z108" s="18" t="e">
        <f t="shared" si="16"/>
        <v>#VALUE!</v>
      </c>
    </row>
    <row r="109" spans="1:26" ht="16.5" thickTop="1" thickBot="1" x14ac:dyDescent="0.3">
      <c r="B109" s="20" t="s">
        <v>193</v>
      </c>
      <c r="C109" s="3" t="s">
        <v>177</v>
      </c>
      <c r="D109" s="3" t="s">
        <v>178</v>
      </c>
      <c r="E109" s="3" t="s">
        <v>84</v>
      </c>
      <c r="F109" s="21" t="s">
        <v>84</v>
      </c>
      <c r="G109" s="21" t="s">
        <v>84</v>
      </c>
      <c r="H109" s="13" t="e">
        <v>#VALUE!</v>
      </c>
      <c r="I109" s="13" t="s">
        <v>84</v>
      </c>
      <c r="J109" s="13" t="s">
        <v>84</v>
      </c>
      <c r="K109" s="3" t="s">
        <v>84</v>
      </c>
      <c r="L109" s="13" t="e">
        <v>#VALUE!</v>
      </c>
      <c r="M109" s="13" t="s">
        <v>84</v>
      </c>
      <c r="N109" s="13" t="s">
        <v>84</v>
      </c>
      <c r="O109" s="13" t="e">
        <v>#VALUE!</v>
      </c>
      <c r="P109" s="21" t="e">
        <f t="shared" si="18"/>
        <v>#VALUE!</v>
      </c>
      <c r="Q109" s="21" t="e">
        <f t="shared" si="18"/>
        <v>#VALUE!</v>
      </c>
      <c r="R109" s="22" t="e">
        <f t="shared" si="17"/>
        <v>#VALUE!</v>
      </c>
      <c r="S109">
        <v>32</v>
      </c>
      <c r="T109" s="14" t="e">
        <f t="shared" si="11"/>
        <v>#VALUE!</v>
      </c>
      <c r="U109" s="23" t="e">
        <f t="shared" si="12"/>
        <v>#VALUE!</v>
      </c>
      <c r="V109" s="23" t="e">
        <f t="shared" si="13"/>
        <v>#VALUE!</v>
      </c>
      <c r="W109" s="23" t="e">
        <f t="shared" si="14"/>
        <v>#VALUE!</v>
      </c>
      <c r="X109" s="23" t="e">
        <f t="shared" si="15"/>
        <v>#VALUE!</v>
      </c>
      <c r="Z109" s="18" t="e">
        <f t="shared" si="16"/>
        <v>#VALUE!</v>
      </c>
    </row>
    <row r="110" spans="1:26" ht="16.5" thickTop="1" thickBot="1" x14ac:dyDescent="0.3">
      <c r="B110" s="20" t="s">
        <v>194</v>
      </c>
      <c r="C110" s="3" t="s">
        <v>177</v>
      </c>
      <c r="D110" s="3" t="s">
        <v>178</v>
      </c>
      <c r="E110" s="3" t="s">
        <v>84</v>
      </c>
      <c r="F110" s="21" t="s">
        <v>84</v>
      </c>
      <c r="G110" s="21" t="s">
        <v>84</v>
      </c>
      <c r="H110" s="13" t="e">
        <v>#VALUE!</v>
      </c>
      <c r="I110" s="13" t="s">
        <v>84</v>
      </c>
      <c r="J110" s="13" t="s">
        <v>84</v>
      </c>
      <c r="K110" s="3" t="s">
        <v>84</v>
      </c>
      <c r="L110" s="13" t="e">
        <v>#VALUE!</v>
      </c>
      <c r="M110" s="13" t="s">
        <v>84</v>
      </c>
      <c r="N110" s="13" t="s">
        <v>84</v>
      </c>
      <c r="O110" s="13" t="e">
        <v>#VALUE!</v>
      </c>
      <c r="P110" s="21" t="e">
        <f t="shared" si="18"/>
        <v>#VALUE!</v>
      </c>
      <c r="Q110" s="21" t="e">
        <f t="shared" si="18"/>
        <v>#VALUE!</v>
      </c>
      <c r="R110" s="22" t="e">
        <f t="shared" si="17"/>
        <v>#VALUE!</v>
      </c>
      <c r="S110" t="s">
        <v>54</v>
      </c>
      <c r="T110" s="14" t="e">
        <f t="shared" si="11"/>
        <v>#VALUE!</v>
      </c>
      <c r="U110" s="23" t="e">
        <f t="shared" si="12"/>
        <v>#VALUE!</v>
      </c>
      <c r="V110" s="23" t="e">
        <f t="shared" si="13"/>
        <v>#VALUE!</v>
      </c>
      <c r="W110" s="23" t="e">
        <f t="shared" si="14"/>
        <v>#VALUE!</v>
      </c>
      <c r="X110" s="23" t="e">
        <f t="shared" si="15"/>
        <v>#VALUE!</v>
      </c>
      <c r="Z110" s="18" t="e">
        <f t="shared" si="16"/>
        <v>#VALUE!</v>
      </c>
    </row>
    <row r="111" spans="1:26" ht="16.5" thickTop="1" thickBot="1" x14ac:dyDescent="0.3">
      <c r="A111" s="1" t="s">
        <v>195</v>
      </c>
      <c r="B111" s="20" t="s">
        <v>196</v>
      </c>
      <c r="C111" s="3" t="s">
        <v>177</v>
      </c>
      <c r="D111" s="3" t="s">
        <v>178</v>
      </c>
      <c r="E111" s="3" t="s">
        <v>84</v>
      </c>
      <c r="F111" s="21" t="s">
        <v>84</v>
      </c>
      <c r="G111" s="21" t="s">
        <v>84</v>
      </c>
      <c r="H111" s="13" t="e">
        <v>#VALUE!</v>
      </c>
      <c r="I111" s="13" t="s">
        <v>84</v>
      </c>
      <c r="J111" s="13" t="s">
        <v>84</v>
      </c>
      <c r="K111" s="3" t="s">
        <v>84</v>
      </c>
      <c r="L111" s="13" t="e">
        <v>#VALUE!</v>
      </c>
      <c r="M111" s="13" t="s">
        <v>84</v>
      </c>
      <c r="N111" s="13" t="s">
        <v>84</v>
      </c>
      <c r="O111" s="13" t="e">
        <v>#VALUE!</v>
      </c>
      <c r="P111" s="21" t="e">
        <f t="shared" si="18"/>
        <v>#VALUE!</v>
      </c>
      <c r="Q111" s="21" t="e">
        <f t="shared" si="18"/>
        <v>#VALUE!</v>
      </c>
      <c r="R111" s="22" t="e">
        <f t="shared" si="17"/>
        <v>#VALUE!</v>
      </c>
      <c r="S111" t="s">
        <v>54</v>
      </c>
      <c r="T111" s="14" t="e">
        <f t="shared" si="11"/>
        <v>#VALUE!</v>
      </c>
      <c r="U111" s="23" t="e">
        <f t="shared" si="12"/>
        <v>#VALUE!</v>
      </c>
      <c r="V111" s="23" t="e">
        <f t="shared" si="13"/>
        <v>#VALUE!</v>
      </c>
      <c r="W111" s="23" t="e">
        <f t="shared" si="14"/>
        <v>#VALUE!</v>
      </c>
      <c r="X111" s="23" t="e">
        <f t="shared" si="15"/>
        <v>#VALUE!</v>
      </c>
      <c r="Z111" s="18" t="e">
        <f t="shared" si="16"/>
        <v>#VALUE!</v>
      </c>
    </row>
    <row r="112" spans="1:26" ht="16.5" thickTop="1" thickBot="1" x14ac:dyDescent="0.3">
      <c r="B112" s="20" t="s">
        <v>197</v>
      </c>
      <c r="C112" s="3" t="s">
        <v>177</v>
      </c>
      <c r="D112" s="3" t="s">
        <v>178</v>
      </c>
      <c r="E112" s="3" t="s">
        <v>84</v>
      </c>
      <c r="F112" s="21" t="s">
        <v>84</v>
      </c>
      <c r="G112" s="21" t="s">
        <v>84</v>
      </c>
      <c r="H112" s="13" t="e">
        <v>#VALUE!</v>
      </c>
      <c r="I112" s="13" t="s">
        <v>84</v>
      </c>
      <c r="J112" s="13" t="s">
        <v>84</v>
      </c>
      <c r="K112" s="3" t="s">
        <v>84</v>
      </c>
      <c r="L112" s="13" t="e">
        <v>#VALUE!</v>
      </c>
      <c r="M112" s="13" t="s">
        <v>84</v>
      </c>
      <c r="N112" s="13" t="s">
        <v>84</v>
      </c>
      <c r="O112" s="13" t="e">
        <v>#VALUE!</v>
      </c>
      <c r="P112" s="21" t="e">
        <f t="shared" si="18"/>
        <v>#VALUE!</v>
      </c>
      <c r="Q112" s="21" t="e">
        <f t="shared" si="18"/>
        <v>#VALUE!</v>
      </c>
      <c r="R112" s="22" t="e">
        <f t="shared" si="17"/>
        <v>#VALUE!</v>
      </c>
      <c r="S112" t="s">
        <v>54</v>
      </c>
      <c r="T112" s="14" t="e">
        <f t="shared" si="11"/>
        <v>#VALUE!</v>
      </c>
      <c r="U112" s="23" t="e">
        <f t="shared" si="12"/>
        <v>#VALUE!</v>
      </c>
      <c r="V112" s="23" t="e">
        <f t="shared" si="13"/>
        <v>#VALUE!</v>
      </c>
      <c r="W112" s="23" t="e">
        <f t="shared" si="14"/>
        <v>#VALUE!</v>
      </c>
      <c r="X112" s="23" t="e">
        <f t="shared" si="15"/>
        <v>#VALUE!</v>
      </c>
      <c r="Z112" s="18" t="e">
        <f t="shared" si="16"/>
        <v>#VALUE!</v>
      </c>
    </row>
    <row r="113" spans="1:26" ht="16.5" thickTop="1" thickBot="1" x14ac:dyDescent="0.3">
      <c r="B113" s="20" t="s">
        <v>198</v>
      </c>
      <c r="C113" s="3" t="s">
        <v>177</v>
      </c>
      <c r="D113" s="3" t="s">
        <v>178</v>
      </c>
      <c r="E113" s="3" t="s">
        <v>84</v>
      </c>
      <c r="F113" s="21" t="s">
        <v>84</v>
      </c>
      <c r="G113" s="21" t="s">
        <v>84</v>
      </c>
      <c r="H113" s="13" t="e">
        <v>#VALUE!</v>
      </c>
      <c r="I113" s="13" t="s">
        <v>84</v>
      </c>
      <c r="J113" s="13" t="s">
        <v>84</v>
      </c>
      <c r="K113" s="3" t="s">
        <v>84</v>
      </c>
      <c r="L113" s="13" t="e">
        <v>#VALUE!</v>
      </c>
      <c r="M113" s="13" t="s">
        <v>84</v>
      </c>
      <c r="N113" s="13" t="s">
        <v>84</v>
      </c>
      <c r="O113" s="13" t="e">
        <v>#VALUE!</v>
      </c>
      <c r="P113" s="21" t="e">
        <f t="shared" si="18"/>
        <v>#VALUE!</v>
      </c>
      <c r="Q113" s="21" t="e">
        <f t="shared" si="18"/>
        <v>#VALUE!</v>
      </c>
      <c r="R113" s="22" t="e">
        <f t="shared" si="17"/>
        <v>#VALUE!</v>
      </c>
      <c r="S113" t="s">
        <v>54</v>
      </c>
      <c r="T113" s="14" t="e">
        <f t="shared" si="11"/>
        <v>#VALUE!</v>
      </c>
      <c r="U113" s="23" t="e">
        <f t="shared" si="12"/>
        <v>#VALUE!</v>
      </c>
      <c r="V113" s="23" t="e">
        <f t="shared" si="13"/>
        <v>#VALUE!</v>
      </c>
      <c r="W113" s="23" t="e">
        <f t="shared" si="14"/>
        <v>#VALUE!</v>
      </c>
      <c r="X113" s="23" t="e">
        <f t="shared" si="15"/>
        <v>#VALUE!</v>
      </c>
      <c r="Z113" s="18" t="e">
        <f t="shared" si="16"/>
        <v>#VALUE!</v>
      </c>
    </row>
    <row r="114" spans="1:26" ht="16.5" thickTop="1" thickBot="1" x14ac:dyDescent="0.3">
      <c r="B114" s="20" t="s">
        <v>199</v>
      </c>
      <c r="C114" s="3" t="s">
        <v>177</v>
      </c>
      <c r="D114" s="3" t="s">
        <v>178</v>
      </c>
      <c r="E114" s="3" t="s">
        <v>84</v>
      </c>
      <c r="F114" s="21" t="s">
        <v>84</v>
      </c>
      <c r="G114" s="21" t="s">
        <v>84</v>
      </c>
      <c r="H114" s="13" t="e">
        <v>#VALUE!</v>
      </c>
      <c r="I114" s="13" t="s">
        <v>84</v>
      </c>
      <c r="J114" s="13" t="s">
        <v>84</v>
      </c>
      <c r="K114" s="3" t="s">
        <v>84</v>
      </c>
      <c r="L114" s="13" t="e">
        <v>#VALUE!</v>
      </c>
      <c r="M114" s="13" t="s">
        <v>84</v>
      </c>
      <c r="N114" s="13" t="s">
        <v>84</v>
      </c>
      <c r="O114" s="13" t="e">
        <v>#VALUE!</v>
      </c>
      <c r="P114" s="21" t="e">
        <f t="shared" si="18"/>
        <v>#VALUE!</v>
      </c>
      <c r="Q114" s="21" t="e">
        <f t="shared" si="18"/>
        <v>#VALUE!</v>
      </c>
      <c r="R114" s="22" t="e">
        <f t="shared" si="17"/>
        <v>#VALUE!</v>
      </c>
      <c r="S114" t="s">
        <v>54</v>
      </c>
      <c r="T114" s="14" t="e">
        <f t="shared" si="11"/>
        <v>#VALUE!</v>
      </c>
      <c r="U114" s="23" t="e">
        <f t="shared" si="12"/>
        <v>#VALUE!</v>
      </c>
      <c r="V114" s="23" t="e">
        <f t="shared" si="13"/>
        <v>#VALUE!</v>
      </c>
      <c r="W114" s="23" t="e">
        <f t="shared" si="14"/>
        <v>#VALUE!</v>
      </c>
      <c r="X114" s="23" t="e">
        <f t="shared" si="15"/>
        <v>#VALUE!</v>
      </c>
      <c r="Z114" s="18" t="e">
        <f t="shared" si="16"/>
        <v>#VALUE!</v>
      </c>
    </row>
    <row r="115" spans="1:26" ht="16.5" thickTop="1" thickBot="1" x14ac:dyDescent="0.3">
      <c r="B115" s="20" t="s">
        <v>200</v>
      </c>
      <c r="C115" s="3" t="s">
        <v>177</v>
      </c>
      <c r="D115" s="3" t="s">
        <v>178</v>
      </c>
      <c r="E115" s="3" t="s">
        <v>84</v>
      </c>
      <c r="F115" s="21" t="s">
        <v>84</v>
      </c>
      <c r="G115" s="21" t="s">
        <v>84</v>
      </c>
      <c r="H115" s="13" t="e">
        <v>#VALUE!</v>
      </c>
      <c r="I115" s="13" t="s">
        <v>84</v>
      </c>
      <c r="J115" s="13" t="s">
        <v>84</v>
      </c>
      <c r="K115" s="3" t="s">
        <v>84</v>
      </c>
      <c r="L115" s="13" t="e">
        <v>#VALUE!</v>
      </c>
      <c r="M115" s="13" t="s">
        <v>84</v>
      </c>
      <c r="N115" s="13" t="s">
        <v>84</v>
      </c>
      <c r="O115" s="13" t="e">
        <v>#VALUE!</v>
      </c>
      <c r="P115" s="21" t="e">
        <f t="shared" si="18"/>
        <v>#VALUE!</v>
      </c>
      <c r="Q115" s="21" t="e">
        <f t="shared" si="18"/>
        <v>#VALUE!</v>
      </c>
      <c r="R115" s="22" t="e">
        <f t="shared" si="17"/>
        <v>#VALUE!</v>
      </c>
      <c r="S115">
        <v>38.299999999999997</v>
      </c>
      <c r="T115" s="14" t="e">
        <f t="shared" si="11"/>
        <v>#VALUE!</v>
      </c>
      <c r="U115" s="23" t="e">
        <f t="shared" si="12"/>
        <v>#VALUE!</v>
      </c>
      <c r="V115" s="23" t="e">
        <f t="shared" si="13"/>
        <v>#VALUE!</v>
      </c>
      <c r="W115" s="23" t="e">
        <f t="shared" si="14"/>
        <v>#VALUE!</v>
      </c>
      <c r="X115" s="23" t="e">
        <f t="shared" si="15"/>
        <v>#VALUE!</v>
      </c>
      <c r="Z115" s="18" t="e">
        <f t="shared" si="16"/>
        <v>#VALUE!</v>
      </c>
    </row>
    <row r="116" spans="1:26" ht="16.5" thickTop="1" thickBot="1" x14ac:dyDescent="0.3">
      <c r="B116" s="20" t="s">
        <v>201</v>
      </c>
      <c r="C116" s="3" t="s">
        <v>177</v>
      </c>
      <c r="D116" s="3" t="s">
        <v>178</v>
      </c>
      <c r="E116" s="3" t="s">
        <v>84</v>
      </c>
      <c r="F116" s="21" t="s">
        <v>84</v>
      </c>
      <c r="G116" s="21" t="s">
        <v>84</v>
      </c>
      <c r="H116" s="13" t="e">
        <v>#VALUE!</v>
      </c>
      <c r="I116" s="13" t="s">
        <v>84</v>
      </c>
      <c r="J116" s="13" t="s">
        <v>84</v>
      </c>
      <c r="K116" s="3" t="s">
        <v>84</v>
      </c>
      <c r="L116" s="13" t="e">
        <v>#VALUE!</v>
      </c>
      <c r="M116" s="13" t="s">
        <v>84</v>
      </c>
      <c r="N116" s="13" t="s">
        <v>84</v>
      </c>
      <c r="O116" s="13" t="e">
        <v>#VALUE!</v>
      </c>
      <c r="P116" s="21" t="e">
        <f t="shared" si="18"/>
        <v>#VALUE!</v>
      </c>
      <c r="Q116" s="21" t="e">
        <f t="shared" si="18"/>
        <v>#VALUE!</v>
      </c>
      <c r="R116" s="22" t="e">
        <f t="shared" si="17"/>
        <v>#VALUE!</v>
      </c>
      <c r="S116">
        <v>11.3</v>
      </c>
      <c r="T116" s="14" t="e">
        <f t="shared" si="11"/>
        <v>#VALUE!</v>
      </c>
      <c r="U116" s="23" t="e">
        <f t="shared" si="12"/>
        <v>#VALUE!</v>
      </c>
      <c r="V116" s="23" t="e">
        <f t="shared" si="13"/>
        <v>#VALUE!</v>
      </c>
      <c r="W116" s="23" t="e">
        <f t="shared" si="14"/>
        <v>#VALUE!</v>
      </c>
      <c r="X116" s="23" t="e">
        <f t="shared" si="15"/>
        <v>#VALUE!</v>
      </c>
      <c r="Z116" s="18" t="e">
        <f t="shared" si="16"/>
        <v>#VALUE!</v>
      </c>
    </row>
    <row r="117" spans="1:26" ht="15.75" thickTop="1" x14ac:dyDescent="0.25">
      <c r="A117" s="1" t="s">
        <v>202</v>
      </c>
      <c r="B117" t="s">
        <v>203</v>
      </c>
      <c r="C117" s="3" t="s">
        <v>177</v>
      </c>
      <c r="D117" s="3" t="s">
        <v>178</v>
      </c>
      <c r="E117" s="3" t="s">
        <v>35</v>
      </c>
      <c r="F117">
        <f>155+128</f>
        <v>283</v>
      </c>
      <c r="G117">
        <v>376</v>
      </c>
      <c r="H117" s="13">
        <v>75.2659574468085</v>
      </c>
      <c r="I117" s="13">
        <f>167+189</f>
        <v>356</v>
      </c>
      <c r="J117" s="13">
        <v>401</v>
      </c>
      <c r="K117" s="13">
        <v>77.86</v>
      </c>
      <c r="L117" s="13">
        <v>88.778054862842893</v>
      </c>
      <c r="M117" s="13">
        <f>156+206</f>
        <v>362</v>
      </c>
      <c r="N117" s="13">
        <v>430</v>
      </c>
      <c r="O117" s="13">
        <v>84.186046511627907</v>
      </c>
      <c r="P117">
        <f t="shared" si="18"/>
        <v>1001</v>
      </c>
      <c r="Q117">
        <f t="shared" si="18"/>
        <v>1207</v>
      </c>
      <c r="R117" s="14">
        <f t="shared" si="17"/>
        <v>82.932891466445739</v>
      </c>
      <c r="S117">
        <v>82.4</v>
      </c>
      <c r="T117" s="14">
        <f t="shared" si="11"/>
        <v>-0.53289146644573293</v>
      </c>
      <c r="U117" s="16" t="str">
        <f t="shared" si="12"/>
        <v>Yes</v>
      </c>
      <c r="V117" s="17" t="str">
        <f t="shared" si="13"/>
        <v>No</v>
      </c>
      <c r="W117" s="16" t="str">
        <f t="shared" si="14"/>
        <v>Yes</v>
      </c>
      <c r="X117" s="16" t="str">
        <f t="shared" si="15"/>
        <v>Yes</v>
      </c>
      <c r="Z117" s="18">
        <f t="shared" si="16"/>
        <v>2.5940425531914997</v>
      </c>
    </row>
    <row r="118" spans="1:26" ht="15.75" thickBot="1" x14ac:dyDescent="0.3">
      <c r="B118" t="s">
        <v>204</v>
      </c>
      <c r="C118" s="3" t="s">
        <v>177</v>
      </c>
      <c r="D118" s="3" t="s">
        <v>178</v>
      </c>
      <c r="E118" s="3" t="s">
        <v>35</v>
      </c>
      <c r="F118">
        <f>132+90</f>
        <v>222</v>
      </c>
      <c r="G118">
        <v>376</v>
      </c>
      <c r="H118" s="13">
        <v>59.042553191489368</v>
      </c>
      <c r="I118" s="13">
        <f>111+153</f>
        <v>264</v>
      </c>
      <c r="J118" s="13">
        <v>401</v>
      </c>
      <c r="K118" s="13">
        <v>60.83</v>
      </c>
      <c r="L118" s="13">
        <v>65.835411471321692</v>
      </c>
      <c r="M118" s="13">
        <f>185+98</f>
        <v>283</v>
      </c>
      <c r="N118" s="13">
        <v>430</v>
      </c>
      <c r="O118" s="13">
        <v>65.813953488372093</v>
      </c>
      <c r="P118">
        <f t="shared" si="18"/>
        <v>769</v>
      </c>
      <c r="Q118">
        <f t="shared" si="18"/>
        <v>1207</v>
      </c>
      <c r="R118" s="14">
        <f t="shared" si="17"/>
        <v>63.711681855840929</v>
      </c>
      <c r="S118">
        <v>61.8</v>
      </c>
      <c r="T118" s="14">
        <f t="shared" si="11"/>
        <v>-1.9116818558409321</v>
      </c>
      <c r="U118" s="16" t="str">
        <f t="shared" si="12"/>
        <v>Yes</v>
      </c>
      <c r="V118" s="17" t="str">
        <f t="shared" si="13"/>
        <v>No</v>
      </c>
      <c r="W118" s="16" t="str">
        <f t="shared" si="14"/>
        <v>Yes</v>
      </c>
      <c r="X118" s="16" t="str">
        <f t="shared" si="15"/>
        <v>Yes</v>
      </c>
      <c r="Z118" s="18">
        <f t="shared" si="16"/>
        <v>1.7874468085106301</v>
      </c>
    </row>
    <row r="119" spans="1:26" ht="16.5" thickTop="1" thickBot="1" x14ac:dyDescent="0.3">
      <c r="A119" s="1" t="s">
        <v>205</v>
      </c>
      <c r="B119" s="20" t="s">
        <v>206</v>
      </c>
      <c r="C119" s="3" t="s">
        <v>177</v>
      </c>
      <c r="D119" s="3" t="s">
        <v>178</v>
      </c>
      <c r="E119" s="3" t="s">
        <v>71</v>
      </c>
      <c r="F119">
        <v>17160</v>
      </c>
      <c r="G119">
        <v>20091</v>
      </c>
      <c r="H119" s="13">
        <v>85.411378229057789</v>
      </c>
      <c r="I119" s="13" t="s">
        <v>84</v>
      </c>
      <c r="J119" s="13" t="s">
        <v>84</v>
      </c>
      <c r="K119" s="13">
        <v>88.24</v>
      </c>
      <c r="L119" s="13" t="e">
        <v>#VALUE!</v>
      </c>
      <c r="M119" s="13">
        <v>8756</v>
      </c>
      <c r="N119" s="13">
        <v>9671</v>
      </c>
      <c r="O119" s="13">
        <v>90.538724020266784</v>
      </c>
      <c r="P119" s="21" t="e">
        <f t="shared" si="18"/>
        <v>#VALUE!</v>
      </c>
      <c r="Q119" s="21" t="e">
        <f t="shared" si="18"/>
        <v>#VALUE!</v>
      </c>
      <c r="R119" s="22" t="e">
        <f t="shared" si="17"/>
        <v>#VALUE!</v>
      </c>
      <c r="S119" t="s">
        <v>54</v>
      </c>
      <c r="T119" s="14" t="e">
        <f t="shared" si="11"/>
        <v>#VALUE!</v>
      </c>
      <c r="U119" s="23" t="e">
        <f t="shared" si="12"/>
        <v>#VALUE!</v>
      </c>
      <c r="V119" s="17" t="str">
        <f t="shared" si="13"/>
        <v>No</v>
      </c>
      <c r="W119" s="23" t="e">
        <f t="shared" si="14"/>
        <v>#VALUE!</v>
      </c>
      <c r="X119" s="15" t="str">
        <f t="shared" si="15"/>
        <v>No</v>
      </c>
      <c r="Z119" s="18">
        <f t="shared" si="16"/>
        <v>2.8286217709422061</v>
      </c>
    </row>
    <row r="120" spans="1:26" ht="31.5" thickTop="1" thickBot="1" x14ac:dyDescent="0.3">
      <c r="A120" s="1" t="s">
        <v>207</v>
      </c>
      <c r="B120" s="20" t="s">
        <v>208</v>
      </c>
      <c r="C120" s="3" t="s">
        <v>177</v>
      </c>
      <c r="D120" s="3" t="s">
        <v>178</v>
      </c>
      <c r="E120" s="3" t="s">
        <v>84</v>
      </c>
      <c r="F120" s="21" t="s">
        <v>84</v>
      </c>
      <c r="G120" s="21" t="s">
        <v>84</v>
      </c>
      <c r="H120" s="13" t="e">
        <v>#VALUE!</v>
      </c>
      <c r="I120" s="13" t="s">
        <v>84</v>
      </c>
      <c r="J120" s="13" t="s">
        <v>84</v>
      </c>
      <c r="K120" s="13" t="s">
        <v>54</v>
      </c>
      <c r="L120" s="13" t="e">
        <v>#VALUE!</v>
      </c>
      <c r="M120" s="13" t="s">
        <v>84</v>
      </c>
      <c r="N120" s="13" t="s">
        <v>84</v>
      </c>
      <c r="O120" s="13" t="e">
        <v>#VALUE!</v>
      </c>
      <c r="P120" s="21" t="e">
        <f t="shared" si="18"/>
        <v>#VALUE!</v>
      </c>
      <c r="Q120" s="21" t="e">
        <f t="shared" si="18"/>
        <v>#VALUE!</v>
      </c>
      <c r="R120" s="22" t="e">
        <f t="shared" si="17"/>
        <v>#VALUE!</v>
      </c>
      <c r="S120" t="s">
        <v>54</v>
      </c>
      <c r="T120" s="14" t="e">
        <f t="shared" si="11"/>
        <v>#VALUE!</v>
      </c>
      <c r="U120" s="23" t="e">
        <f t="shared" si="12"/>
        <v>#VALUE!</v>
      </c>
      <c r="V120" s="23" t="e">
        <f t="shared" si="13"/>
        <v>#VALUE!</v>
      </c>
      <c r="W120" s="23" t="e">
        <f t="shared" si="14"/>
        <v>#VALUE!</v>
      </c>
      <c r="X120" s="23" t="e">
        <f t="shared" si="15"/>
        <v>#VALUE!</v>
      </c>
      <c r="Z120" s="18" t="e">
        <f t="shared" si="16"/>
        <v>#VALUE!</v>
      </c>
    </row>
    <row r="121" spans="1:26" ht="16.5" thickTop="1" thickBot="1" x14ac:dyDescent="0.3">
      <c r="B121" s="20" t="s">
        <v>209</v>
      </c>
      <c r="C121" s="3" t="s">
        <v>177</v>
      </c>
      <c r="D121" s="3" t="s">
        <v>178</v>
      </c>
      <c r="E121" s="3" t="s">
        <v>84</v>
      </c>
      <c r="F121" s="21" t="s">
        <v>84</v>
      </c>
      <c r="G121" s="21" t="s">
        <v>84</v>
      </c>
      <c r="H121" s="13" t="e">
        <v>#VALUE!</v>
      </c>
      <c r="I121" s="13" t="s">
        <v>84</v>
      </c>
      <c r="J121" s="13" t="s">
        <v>84</v>
      </c>
      <c r="K121" s="13" t="s">
        <v>54</v>
      </c>
      <c r="L121" s="13" t="e">
        <v>#VALUE!</v>
      </c>
      <c r="M121" s="13" t="s">
        <v>84</v>
      </c>
      <c r="N121" s="13" t="s">
        <v>84</v>
      </c>
      <c r="O121" s="13" t="e">
        <v>#VALUE!</v>
      </c>
      <c r="P121" s="21" t="e">
        <f t="shared" si="18"/>
        <v>#VALUE!</v>
      </c>
      <c r="Q121" s="21" t="e">
        <f t="shared" si="18"/>
        <v>#VALUE!</v>
      </c>
      <c r="R121" s="22" t="e">
        <f t="shared" si="17"/>
        <v>#VALUE!</v>
      </c>
      <c r="S121" t="s">
        <v>54</v>
      </c>
      <c r="T121" s="14" t="e">
        <f t="shared" si="11"/>
        <v>#VALUE!</v>
      </c>
      <c r="U121" s="23" t="e">
        <f t="shared" si="12"/>
        <v>#VALUE!</v>
      </c>
      <c r="V121" s="23" t="e">
        <f t="shared" si="13"/>
        <v>#VALUE!</v>
      </c>
      <c r="W121" s="23" t="e">
        <f t="shared" si="14"/>
        <v>#VALUE!</v>
      </c>
      <c r="X121" s="23" t="e">
        <f t="shared" si="15"/>
        <v>#VALUE!</v>
      </c>
      <c r="Z121" s="18" t="e">
        <f t="shared" si="16"/>
        <v>#VALUE!</v>
      </c>
    </row>
    <row r="122" spans="1:26" ht="16.5" thickTop="1" thickBot="1" x14ac:dyDescent="0.3">
      <c r="B122" s="20" t="s">
        <v>210</v>
      </c>
      <c r="C122" s="3" t="s">
        <v>177</v>
      </c>
      <c r="D122" s="3" t="s">
        <v>178</v>
      </c>
      <c r="E122" s="3" t="s">
        <v>84</v>
      </c>
      <c r="F122" s="21" t="s">
        <v>84</v>
      </c>
      <c r="G122" s="21" t="s">
        <v>84</v>
      </c>
      <c r="H122" s="13" t="e">
        <v>#VALUE!</v>
      </c>
      <c r="I122" s="13" t="s">
        <v>84</v>
      </c>
      <c r="J122" s="13" t="s">
        <v>84</v>
      </c>
      <c r="K122" s="13" t="s">
        <v>54</v>
      </c>
      <c r="L122" s="13" t="e">
        <v>#VALUE!</v>
      </c>
      <c r="M122" s="13" t="s">
        <v>84</v>
      </c>
      <c r="N122" s="13" t="s">
        <v>84</v>
      </c>
      <c r="O122" s="13" t="e">
        <v>#VALUE!</v>
      </c>
      <c r="P122" s="21" t="e">
        <f t="shared" si="18"/>
        <v>#VALUE!</v>
      </c>
      <c r="Q122" s="21" t="e">
        <f t="shared" si="18"/>
        <v>#VALUE!</v>
      </c>
      <c r="R122" s="22" t="e">
        <f t="shared" si="17"/>
        <v>#VALUE!</v>
      </c>
      <c r="S122" t="s">
        <v>54</v>
      </c>
      <c r="T122" s="14" t="e">
        <f t="shared" si="11"/>
        <v>#VALUE!</v>
      </c>
      <c r="U122" s="23" t="e">
        <f t="shared" si="12"/>
        <v>#VALUE!</v>
      </c>
      <c r="V122" s="23" t="e">
        <f t="shared" si="13"/>
        <v>#VALUE!</v>
      </c>
      <c r="W122" s="23" t="e">
        <f t="shared" si="14"/>
        <v>#VALUE!</v>
      </c>
      <c r="X122" s="23" t="e">
        <f t="shared" si="15"/>
        <v>#VALUE!</v>
      </c>
      <c r="Z122" s="18" t="e">
        <f t="shared" si="16"/>
        <v>#VALUE!</v>
      </c>
    </row>
    <row r="123" spans="1:26" ht="16.5" thickTop="1" thickBot="1" x14ac:dyDescent="0.3">
      <c r="B123" s="20" t="s">
        <v>211</v>
      </c>
      <c r="C123" s="3" t="s">
        <v>177</v>
      </c>
      <c r="D123" s="3" t="s">
        <v>178</v>
      </c>
      <c r="E123" s="3" t="s">
        <v>84</v>
      </c>
      <c r="F123" s="21" t="s">
        <v>84</v>
      </c>
      <c r="G123" s="21" t="s">
        <v>84</v>
      </c>
      <c r="H123" s="13" t="e">
        <v>#VALUE!</v>
      </c>
      <c r="I123" s="13" t="s">
        <v>84</v>
      </c>
      <c r="J123" s="13" t="s">
        <v>84</v>
      </c>
      <c r="K123" s="13" t="s">
        <v>54</v>
      </c>
      <c r="L123" s="13" t="e">
        <v>#VALUE!</v>
      </c>
      <c r="M123" s="13" t="s">
        <v>84</v>
      </c>
      <c r="N123" s="13" t="s">
        <v>84</v>
      </c>
      <c r="O123" s="13" t="e">
        <v>#VALUE!</v>
      </c>
      <c r="P123" s="21" t="e">
        <f t="shared" si="18"/>
        <v>#VALUE!</v>
      </c>
      <c r="Q123" s="21" t="e">
        <f t="shared" si="18"/>
        <v>#VALUE!</v>
      </c>
      <c r="R123" s="22" t="e">
        <f t="shared" si="17"/>
        <v>#VALUE!</v>
      </c>
      <c r="S123" t="s">
        <v>54</v>
      </c>
      <c r="T123" s="14" t="e">
        <f t="shared" si="11"/>
        <v>#VALUE!</v>
      </c>
      <c r="U123" s="23" t="e">
        <f t="shared" si="12"/>
        <v>#VALUE!</v>
      </c>
      <c r="V123" s="23" t="e">
        <f t="shared" si="13"/>
        <v>#VALUE!</v>
      </c>
      <c r="W123" s="23" t="e">
        <f t="shared" si="14"/>
        <v>#VALUE!</v>
      </c>
      <c r="X123" s="23" t="e">
        <f t="shared" si="15"/>
        <v>#VALUE!</v>
      </c>
      <c r="Z123" s="18" t="e">
        <f t="shared" si="16"/>
        <v>#VALUE!</v>
      </c>
    </row>
    <row r="124" spans="1:26" ht="15.75" thickTop="1" x14ac:dyDescent="0.25">
      <c r="A124" s="1" t="s">
        <v>212</v>
      </c>
      <c r="B124" t="s">
        <v>213</v>
      </c>
      <c r="C124" s="3" t="s">
        <v>214</v>
      </c>
      <c r="D124" s="3" t="s">
        <v>215</v>
      </c>
      <c r="E124" s="3" t="s">
        <v>35</v>
      </c>
      <c r="F124">
        <f>77+0</f>
        <v>77</v>
      </c>
      <c r="G124">
        <v>376</v>
      </c>
      <c r="H124" s="13">
        <v>20.478723404255319</v>
      </c>
      <c r="I124" s="13">
        <f>20+1</f>
        <v>21</v>
      </c>
      <c r="J124" s="13">
        <v>401</v>
      </c>
      <c r="K124" s="13">
        <v>13.87</v>
      </c>
      <c r="L124" s="13">
        <v>5.2369077306733169</v>
      </c>
      <c r="M124" s="13">
        <f>38+2</f>
        <v>40</v>
      </c>
      <c r="N124" s="13">
        <v>430</v>
      </c>
      <c r="O124" s="13">
        <v>9.3023255813953494</v>
      </c>
      <c r="P124">
        <f t="shared" si="18"/>
        <v>138</v>
      </c>
      <c r="Q124">
        <f t="shared" si="18"/>
        <v>1207</v>
      </c>
      <c r="R124" s="14">
        <f t="shared" si="17"/>
        <v>11.433305716652859</v>
      </c>
      <c r="S124">
        <v>14.2</v>
      </c>
      <c r="T124" s="14">
        <f t="shared" si="11"/>
        <v>2.7666942833471406</v>
      </c>
      <c r="U124" s="15" t="str">
        <f t="shared" si="12"/>
        <v>No</v>
      </c>
      <c r="V124" s="19" t="str">
        <f t="shared" si="13"/>
        <v>Yes</v>
      </c>
      <c r="W124" s="15" t="str">
        <f t="shared" si="14"/>
        <v>No</v>
      </c>
      <c r="X124" s="15" t="str">
        <f t="shared" si="15"/>
        <v>No</v>
      </c>
      <c r="Z124" s="18">
        <f t="shared" si="16"/>
        <v>-6.6087234042553202</v>
      </c>
    </row>
    <row r="125" spans="1:26" x14ac:dyDescent="0.25">
      <c r="B125" t="s">
        <v>216</v>
      </c>
      <c r="C125" s="3" t="s">
        <v>214</v>
      </c>
      <c r="D125" s="3" t="s">
        <v>215</v>
      </c>
      <c r="E125" s="3" t="s">
        <v>35</v>
      </c>
      <c r="F125">
        <f>32+7</f>
        <v>39</v>
      </c>
      <c r="G125">
        <v>376</v>
      </c>
      <c r="H125" s="13">
        <v>10.372340425531915</v>
      </c>
      <c r="I125" s="13">
        <f>8+5</f>
        <v>13</v>
      </c>
      <c r="J125" s="13">
        <v>401</v>
      </c>
      <c r="K125" s="13">
        <v>8.76</v>
      </c>
      <c r="L125" s="13">
        <v>3.2418952618453867</v>
      </c>
      <c r="M125" s="13">
        <f>15+5</f>
        <v>20</v>
      </c>
      <c r="N125" s="13">
        <v>430</v>
      </c>
      <c r="O125" s="13">
        <v>4.6511627906976747</v>
      </c>
      <c r="P125">
        <f t="shared" si="18"/>
        <v>72</v>
      </c>
      <c r="Q125">
        <f t="shared" si="18"/>
        <v>1207</v>
      </c>
      <c r="R125" s="14">
        <f t="shared" si="17"/>
        <v>5.9652029826014914</v>
      </c>
      <c r="S125">
        <v>7.6</v>
      </c>
      <c r="T125" s="14">
        <f t="shared" si="11"/>
        <v>1.6347970173985082</v>
      </c>
      <c r="U125" s="15" t="str">
        <f t="shared" si="12"/>
        <v>No</v>
      </c>
      <c r="V125" s="19" t="str">
        <f t="shared" si="13"/>
        <v>Yes</v>
      </c>
      <c r="W125" s="15" t="str">
        <f t="shared" si="14"/>
        <v>No</v>
      </c>
      <c r="X125" s="15" t="str">
        <f t="shared" si="15"/>
        <v>No</v>
      </c>
      <c r="Z125" s="18">
        <f t="shared" si="16"/>
        <v>-1.6123404255319151</v>
      </c>
    </row>
    <row r="126" spans="1:26" x14ac:dyDescent="0.25">
      <c r="B126" t="s">
        <v>217</v>
      </c>
      <c r="C126" s="3" t="s">
        <v>214</v>
      </c>
      <c r="D126" s="3" t="s">
        <v>215</v>
      </c>
      <c r="E126" s="3" t="s">
        <v>35</v>
      </c>
      <c r="F126">
        <f>14+18</f>
        <v>32</v>
      </c>
      <c r="G126">
        <v>376</v>
      </c>
      <c r="H126" s="13">
        <v>8.5106382978723403</v>
      </c>
      <c r="I126" s="13">
        <f>12+10</f>
        <v>22</v>
      </c>
      <c r="J126" s="13">
        <v>401</v>
      </c>
      <c r="K126" s="13">
        <v>10.220000000000001</v>
      </c>
      <c r="L126" s="13">
        <v>5.4862842892768073</v>
      </c>
      <c r="M126" s="13">
        <f>9+20</f>
        <v>29</v>
      </c>
      <c r="N126" s="13">
        <v>430</v>
      </c>
      <c r="O126" s="13">
        <v>6.7441860465116283</v>
      </c>
      <c r="P126">
        <f t="shared" si="18"/>
        <v>83</v>
      </c>
      <c r="Q126">
        <f t="shared" si="18"/>
        <v>1207</v>
      </c>
      <c r="R126" s="14">
        <f t="shared" si="17"/>
        <v>6.8765534382767193</v>
      </c>
      <c r="S126">
        <v>8.4</v>
      </c>
      <c r="T126" s="14">
        <f t="shared" si="11"/>
        <v>1.5234465617232811</v>
      </c>
      <c r="U126" s="15" t="str">
        <f t="shared" si="12"/>
        <v>No</v>
      </c>
      <c r="V126" s="19" t="str">
        <f t="shared" si="13"/>
        <v>Yes</v>
      </c>
      <c r="W126" s="15" t="str">
        <f t="shared" si="14"/>
        <v>No</v>
      </c>
      <c r="X126" s="15" t="str">
        <f t="shared" si="15"/>
        <v>No</v>
      </c>
      <c r="Z126" s="18">
        <f t="shared" si="16"/>
        <v>1.7093617021276604</v>
      </c>
    </row>
    <row r="127" spans="1:26" x14ac:dyDescent="0.25">
      <c r="B127" t="s">
        <v>218</v>
      </c>
      <c r="C127" s="3" t="s">
        <v>214</v>
      </c>
      <c r="D127" s="3" t="s">
        <v>215</v>
      </c>
      <c r="E127" s="3" t="s">
        <v>35</v>
      </c>
      <c r="F127">
        <f>16+31</f>
        <v>47</v>
      </c>
      <c r="G127">
        <v>376</v>
      </c>
      <c r="H127" s="13">
        <v>12.5</v>
      </c>
      <c r="I127" s="13">
        <f>13+42</f>
        <v>55</v>
      </c>
      <c r="J127" s="13">
        <v>401</v>
      </c>
      <c r="K127" s="13">
        <v>12.9</v>
      </c>
      <c r="L127" s="13">
        <v>13.715710723192021</v>
      </c>
      <c r="M127" s="13">
        <f>14+48</f>
        <v>62</v>
      </c>
      <c r="N127" s="13">
        <v>430</v>
      </c>
      <c r="O127" s="13">
        <v>14.418604651162791</v>
      </c>
      <c r="P127">
        <f t="shared" si="18"/>
        <v>164</v>
      </c>
      <c r="Q127">
        <f t="shared" si="18"/>
        <v>1207</v>
      </c>
      <c r="R127" s="14">
        <f t="shared" si="17"/>
        <v>13.587406793703396</v>
      </c>
      <c r="S127">
        <v>14.5</v>
      </c>
      <c r="T127" s="14">
        <f t="shared" si="11"/>
        <v>0.91259320629660401</v>
      </c>
      <c r="U127" s="17" t="str">
        <f t="shared" si="12"/>
        <v>No</v>
      </c>
      <c r="V127" s="17" t="str">
        <f t="shared" si="13"/>
        <v>No</v>
      </c>
      <c r="W127" s="17" t="str">
        <f t="shared" si="14"/>
        <v>No</v>
      </c>
      <c r="X127" s="17" t="str">
        <f t="shared" si="15"/>
        <v>No</v>
      </c>
      <c r="Z127" s="18">
        <f t="shared" si="16"/>
        <v>0.40000000000000036</v>
      </c>
    </row>
    <row r="128" spans="1:26" x14ac:dyDescent="0.25">
      <c r="B128" t="s">
        <v>219</v>
      </c>
      <c r="C128" s="3" t="s">
        <v>214</v>
      </c>
      <c r="D128" s="3" t="s">
        <v>215</v>
      </c>
      <c r="E128" s="3" t="s">
        <v>35</v>
      </c>
      <c r="F128">
        <f>30+151</f>
        <v>181</v>
      </c>
      <c r="G128">
        <v>376</v>
      </c>
      <c r="H128" s="13">
        <v>48.138297872340424</v>
      </c>
      <c r="I128" s="13">
        <f>56+234</f>
        <v>290</v>
      </c>
      <c r="J128" s="13">
        <v>401</v>
      </c>
      <c r="K128" s="13">
        <v>54.26</v>
      </c>
      <c r="L128" s="13">
        <v>72.319201995012477</v>
      </c>
      <c r="M128" s="13">
        <f>72+207</f>
        <v>279</v>
      </c>
      <c r="N128" s="13">
        <v>430</v>
      </c>
      <c r="O128" s="13">
        <v>64.883720930232556</v>
      </c>
      <c r="P128">
        <f t="shared" si="18"/>
        <v>750</v>
      </c>
      <c r="Q128">
        <f t="shared" si="18"/>
        <v>1207</v>
      </c>
      <c r="R128" s="14">
        <f t="shared" si="17"/>
        <v>62.13753106876554</v>
      </c>
      <c r="S128">
        <v>55.2</v>
      </c>
      <c r="T128" s="14">
        <f t="shared" si="11"/>
        <v>-6.9375310687655372</v>
      </c>
      <c r="U128" s="16" t="str">
        <f t="shared" si="12"/>
        <v>Yes</v>
      </c>
      <c r="V128" s="15" t="str">
        <f t="shared" si="13"/>
        <v>No</v>
      </c>
      <c r="W128" s="19" t="str">
        <f t="shared" si="14"/>
        <v>Yes</v>
      </c>
      <c r="X128" s="19" t="str">
        <f t="shared" si="15"/>
        <v>Yes</v>
      </c>
      <c r="Z128" s="18">
        <f t="shared" si="16"/>
        <v>6.1217021276595744</v>
      </c>
    </row>
    <row r="129" spans="1:26" x14ac:dyDescent="0.25">
      <c r="A129" s="1" t="s">
        <v>220</v>
      </c>
      <c r="B129" t="s">
        <v>221</v>
      </c>
      <c r="C129" s="3" t="s">
        <v>214</v>
      </c>
      <c r="D129" s="3" t="s">
        <v>215</v>
      </c>
      <c r="E129" s="3" t="s">
        <v>35</v>
      </c>
      <c r="F129">
        <f>6+0</f>
        <v>6</v>
      </c>
      <c r="G129">
        <v>411</v>
      </c>
      <c r="H129" s="13">
        <v>1.4598540145985401</v>
      </c>
      <c r="I129" s="13">
        <f>8+0</f>
        <v>8</v>
      </c>
      <c r="J129" s="13">
        <v>432</v>
      </c>
      <c r="K129" s="13">
        <v>1.23</v>
      </c>
      <c r="L129" s="13">
        <v>1.8518518518518516</v>
      </c>
      <c r="M129" s="13">
        <f>16+0</f>
        <v>16</v>
      </c>
      <c r="N129" s="13">
        <v>432</v>
      </c>
      <c r="O129" s="13">
        <v>3.7037037037037033</v>
      </c>
      <c r="P129">
        <f t="shared" si="18"/>
        <v>30</v>
      </c>
      <c r="Q129">
        <f t="shared" si="18"/>
        <v>1275</v>
      </c>
      <c r="R129" s="14">
        <f t="shared" si="17"/>
        <v>2.3529411764705883</v>
      </c>
      <c r="S129" t="s">
        <v>54</v>
      </c>
      <c r="T129" s="14" t="e">
        <f t="shared" si="11"/>
        <v>#VALUE!</v>
      </c>
      <c r="U129" s="15" t="str">
        <f t="shared" si="12"/>
        <v>No</v>
      </c>
      <c r="V129" s="17" t="str">
        <f t="shared" si="13"/>
        <v>No</v>
      </c>
      <c r="W129" s="15" t="str">
        <f t="shared" si="14"/>
        <v>No</v>
      </c>
      <c r="X129" s="17" t="str">
        <f t="shared" si="15"/>
        <v>No</v>
      </c>
      <c r="Z129" s="18">
        <f t="shared" si="16"/>
        <v>-0.22985401459854016</v>
      </c>
    </row>
    <row r="130" spans="1:26" x14ac:dyDescent="0.25">
      <c r="B130" t="s">
        <v>222</v>
      </c>
      <c r="C130" s="3" t="s">
        <v>214</v>
      </c>
      <c r="D130" s="3" t="s">
        <v>215</v>
      </c>
      <c r="E130" s="3" t="s">
        <v>35</v>
      </c>
      <c r="F130">
        <f>6+3</f>
        <v>9</v>
      </c>
      <c r="G130">
        <v>411</v>
      </c>
      <c r="H130" s="13">
        <v>2.1897810218978102</v>
      </c>
      <c r="I130" s="13">
        <f>7+1</f>
        <v>8</v>
      </c>
      <c r="J130" s="13">
        <v>432</v>
      </c>
      <c r="K130" s="13">
        <v>1.47</v>
      </c>
      <c r="L130" s="13">
        <v>1.8518518518518516</v>
      </c>
      <c r="M130" s="13">
        <f>15+0</f>
        <v>15</v>
      </c>
      <c r="N130" s="13">
        <v>432</v>
      </c>
      <c r="O130" s="13">
        <v>3.4722222222222223</v>
      </c>
      <c r="P130">
        <f t="shared" si="18"/>
        <v>32</v>
      </c>
      <c r="Q130">
        <f t="shared" si="18"/>
        <v>1275</v>
      </c>
      <c r="R130" s="14">
        <f t="shared" si="17"/>
        <v>2.5098039215686274</v>
      </c>
      <c r="S130" t="s">
        <v>54</v>
      </c>
      <c r="T130" s="14" t="e">
        <f t="shared" si="11"/>
        <v>#VALUE!</v>
      </c>
      <c r="U130" s="15" t="str">
        <f t="shared" si="12"/>
        <v>No</v>
      </c>
      <c r="V130" s="17" t="str">
        <f t="shared" si="13"/>
        <v>No</v>
      </c>
      <c r="W130" s="15" t="str">
        <f t="shared" si="14"/>
        <v>No</v>
      </c>
      <c r="X130" s="15" t="str">
        <f t="shared" si="15"/>
        <v>No</v>
      </c>
      <c r="Z130" s="18">
        <f t="shared" si="16"/>
        <v>-0.71978102189781024</v>
      </c>
    </row>
    <row r="131" spans="1:26" x14ac:dyDescent="0.25">
      <c r="B131" t="s">
        <v>223</v>
      </c>
      <c r="C131" s="3" t="s">
        <v>214</v>
      </c>
      <c r="D131" s="3" t="s">
        <v>215</v>
      </c>
      <c r="E131" s="3" t="s">
        <v>35</v>
      </c>
      <c r="F131">
        <f>5+3</f>
        <v>8</v>
      </c>
      <c r="G131">
        <v>411</v>
      </c>
      <c r="H131" s="13">
        <v>1.9464720194647203</v>
      </c>
      <c r="I131" s="13">
        <f>4+3</f>
        <v>7</v>
      </c>
      <c r="J131" s="13">
        <v>432</v>
      </c>
      <c r="K131" s="13">
        <v>2.46</v>
      </c>
      <c r="L131" s="13">
        <v>1.6203703703703702</v>
      </c>
      <c r="M131" s="13">
        <f>15+3</f>
        <v>18</v>
      </c>
      <c r="N131" s="13">
        <v>432</v>
      </c>
      <c r="O131" s="13">
        <v>4.1666666666666661</v>
      </c>
      <c r="P131">
        <f t="shared" ref="P131:Q137" si="19">F131+I131+M131</f>
        <v>33</v>
      </c>
      <c r="Q131">
        <f t="shared" si="19"/>
        <v>1275</v>
      </c>
      <c r="R131" s="14">
        <f t="shared" si="17"/>
        <v>2.5882352941176472</v>
      </c>
      <c r="S131" t="s">
        <v>54</v>
      </c>
      <c r="T131" s="14" t="e">
        <f t="shared" ref="T131:T141" si="20">S131-R131</f>
        <v>#VALUE!</v>
      </c>
      <c r="U131" s="15" t="str">
        <f t="shared" ref="U131:U141" si="21">IF(R131&gt;S131,"Yes","No")</f>
        <v>No</v>
      </c>
      <c r="V131" s="15" t="str">
        <f t="shared" ref="V131:V141" si="22">IF(H131&gt;S131,"Yes","No")</f>
        <v>No</v>
      </c>
      <c r="W131" s="15" t="str">
        <f t="shared" ref="W131:W141" si="23">IF(L131&gt;S131,"Yes","No")</f>
        <v>No</v>
      </c>
      <c r="X131" s="15" t="str">
        <f t="shared" ref="X131:X141" si="24">IF(O131&gt;S131,"Yes","No")</f>
        <v>No</v>
      </c>
      <c r="Z131" s="18">
        <f t="shared" ref="Z131:Z141" si="25">K131-H131</f>
        <v>0.5135279805352797</v>
      </c>
    </row>
    <row r="132" spans="1:26" x14ac:dyDescent="0.25">
      <c r="B132" t="s">
        <v>224</v>
      </c>
      <c r="C132" s="3" t="s">
        <v>214</v>
      </c>
      <c r="D132" s="3" t="s">
        <v>215</v>
      </c>
      <c r="E132" s="3" t="s">
        <v>35</v>
      </c>
      <c r="F132">
        <f>13+3</f>
        <v>16</v>
      </c>
      <c r="G132">
        <v>411</v>
      </c>
      <c r="H132" s="13">
        <v>3.8929440389294405</v>
      </c>
      <c r="I132" s="13">
        <f>16+7</f>
        <v>23</v>
      </c>
      <c r="J132" s="13">
        <v>432</v>
      </c>
      <c r="K132" s="13">
        <v>5.41</v>
      </c>
      <c r="L132" s="13">
        <v>5.3240740740740744</v>
      </c>
      <c r="M132" s="13">
        <f>19+3</f>
        <v>22</v>
      </c>
      <c r="N132" s="13">
        <v>432</v>
      </c>
      <c r="O132" s="13">
        <v>5.0925925925925926</v>
      </c>
      <c r="P132">
        <f t="shared" si="19"/>
        <v>61</v>
      </c>
      <c r="Q132">
        <f t="shared" si="19"/>
        <v>1275</v>
      </c>
      <c r="R132" s="14">
        <f t="shared" si="17"/>
        <v>4.784313725490196</v>
      </c>
      <c r="S132" t="s">
        <v>54</v>
      </c>
      <c r="T132" s="14" t="e">
        <f t="shared" si="20"/>
        <v>#VALUE!</v>
      </c>
      <c r="U132" s="15" t="str">
        <f t="shared" si="21"/>
        <v>No</v>
      </c>
      <c r="V132" s="17" t="str">
        <f t="shared" si="22"/>
        <v>No</v>
      </c>
      <c r="W132" s="15" t="str">
        <f t="shared" si="23"/>
        <v>No</v>
      </c>
      <c r="X132" s="15" t="str">
        <f t="shared" si="24"/>
        <v>No</v>
      </c>
      <c r="Z132" s="18">
        <f t="shared" si="25"/>
        <v>1.5170559610705596</v>
      </c>
    </row>
    <row r="133" spans="1:26" x14ac:dyDescent="0.25">
      <c r="B133" t="s">
        <v>225</v>
      </c>
      <c r="C133" s="3" t="s">
        <v>214</v>
      </c>
      <c r="D133" s="3" t="s">
        <v>215</v>
      </c>
      <c r="E133" s="3" t="s">
        <v>35</v>
      </c>
      <c r="F133">
        <f>26+12</f>
        <v>38</v>
      </c>
      <c r="G133">
        <v>411</v>
      </c>
      <c r="H133" s="13">
        <v>9.2457420924574212</v>
      </c>
      <c r="I133" s="13">
        <f>43+10</f>
        <v>53</v>
      </c>
      <c r="J133" s="13">
        <v>432</v>
      </c>
      <c r="K133" s="13">
        <v>10.81</v>
      </c>
      <c r="L133" s="13">
        <v>12.268518518518519</v>
      </c>
      <c r="M133" s="13">
        <f>51+18</f>
        <v>69</v>
      </c>
      <c r="N133" s="13">
        <v>432</v>
      </c>
      <c r="O133" s="13">
        <v>15.972222222222221</v>
      </c>
      <c r="P133">
        <f t="shared" si="19"/>
        <v>160</v>
      </c>
      <c r="Q133">
        <f t="shared" si="19"/>
        <v>1275</v>
      </c>
      <c r="R133" s="14">
        <f t="shared" si="17"/>
        <v>12.549019607843137</v>
      </c>
      <c r="S133" t="s">
        <v>54</v>
      </c>
      <c r="T133" s="14" t="e">
        <f t="shared" si="20"/>
        <v>#VALUE!</v>
      </c>
      <c r="U133" s="15" t="str">
        <f t="shared" si="21"/>
        <v>No</v>
      </c>
      <c r="V133" s="15" t="str">
        <f t="shared" si="22"/>
        <v>No</v>
      </c>
      <c r="W133" s="15" t="str">
        <f t="shared" si="23"/>
        <v>No</v>
      </c>
      <c r="X133" s="15" t="str">
        <f t="shared" si="24"/>
        <v>No</v>
      </c>
      <c r="Z133" s="18">
        <f t="shared" si="25"/>
        <v>1.5642579075425793</v>
      </c>
    </row>
    <row r="134" spans="1:26" x14ac:dyDescent="0.25">
      <c r="B134" t="s">
        <v>226</v>
      </c>
      <c r="C134" s="3" t="s">
        <v>214</v>
      </c>
      <c r="D134" s="3" t="s">
        <v>215</v>
      </c>
      <c r="E134" s="3" t="s">
        <v>35</v>
      </c>
      <c r="F134">
        <f>60+44</f>
        <v>104</v>
      </c>
      <c r="G134">
        <v>411</v>
      </c>
      <c r="H134" s="13">
        <v>25.304136253041364</v>
      </c>
      <c r="I134" s="13">
        <f>99+33</f>
        <v>132</v>
      </c>
      <c r="J134" s="13">
        <v>432</v>
      </c>
      <c r="K134" s="13">
        <v>26.04</v>
      </c>
      <c r="L134" s="13">
        <v>30.555555555555557</v>
      </c>
      <c r="M134" s="13">
        <f>75+30</f>
        <v>105</v>
      </c>
      <c r="N134" s="13">
        <v>432</v>
      </c>
      <c r="O134" s="13">
        <v>24.305555555555554</v>
      </c>
      <c r="P134">
        <f t="shared" si="19"/>
        <v>341</v>
      </c>
      <c r="Q134">
        <f t="shared" si="19"/>
        <v>1275</v>
      </c>
      <c r="R134" s="14">
        <f t="shared" si="17"/>
        <v>26.745098039215687</v>
      </c>
      <c r="S134" t="s">
        <v>54</v>
      </c>
      <c r="T134" s="14" t="e">
        <f t="shared" si="20"/>
        <v>#VALUE!</v>
      </c>
      <c r="U134" s="15" t="str">
        <f t="shared" si="21"/>
        <v>No</v>
      </c>
      <c r="V134" s="17" t="str">
        <f t="shared" si="22"/>
        <v>No</v>
      </c>
      <c r="W134" s="15" t="str">
        <f t="shared" si="23"/>
        <v>No</v>
      </c>
      <c r="X134" s="15" t="str">
        <f t="shared" si="24"/>
        <v>No</v>
      </c>
      <c r="Z134" s="18">
        <f t="shared" si="25"/>
        <v>0.73586374695863555</v>
      </c>
    </row>
    <row r="135" spans="1:26" x14ac:dyDescent="0.25">
      <c r="B135" t="s">
        <v>227</v>
      </c>
      <c r="C135" s="3" t="s">
        <v>214</v>
      </c>
      <c r="D135" s="3" t="s">
        <v>215</v>
      </c>
      <c r="E135" s="3" t="s">
        <v>35</v>
      </c>
      <c r="F135">
        <f>56+174</f>
        <v>230</v>
      </c>
      <c r="G135">
        <v>411</v>
      </c>
      <c r="H135" s="13">
        <v>55.961070559610704</v>
      </c>
      <c r="I135" s="13">
        <f>38+163</f>
        <v>201</v>
      </c>
      <c r="J135" s="13">
        <v>432</v>
      </c>
      <c r="K135" s="13">
        <v>52.58</v>
      </c>
      <c r="L135" s="13">
        <v>46.527777777777779</v>
      </c>
      <c r="M135" s="13">
        <f>46+141</f>
        <v>187</v>
      </c>
      <c r="N135" s="13">
        <v>432</v>
      </c>
      <c r="O135" s="13">
        <v>43.287037037037038</v>
      </c>
      <c r="P135">
        <f t="shared" si="19"/>
        <v>618</v>
      </c>
      <c r="Q135">
        <f t="shared" si="19"/>
        <v>1275</v>
      </c>
      <c r="R135" s="14">
        <f t="shared" si="17"/>
        <v>48.470588235294116</v>
      </c>
      <c r="S135">
        <v>58.9</v>
      </c>
      <c r="T135" s="14">
        <f t="shared" si="20"/>
        <v>10.429411764705883</v>
      </c>
      <c r="U135" s="15" t="str">
        <f t="shared" si="21"/>
        <v>No</v>
      </c>
      <c r="V135" s="17" t="str">
        <f t="shared" si="22"/>
        <v>No</v>
      </c>
      <c r="W135" s="15" t="str">
        <f t="shared" si="23"/>
        <v>No</v>
      </c>
      <c r="X135" s="15" t="str">
        <f t="shared" si="24"/>
        <v>No</v>
      </c>
      <c r="Z135" s="18">
        <f t="shared" si="25"/>
        <v>-3.3810705596107056</v>
      </c>
    </row>
    <row r="136" spans="1:26" x14ac:dyDescent="0.25">
      <c r="A136" s="1" t="s">
        <v>228</v>
      </c>
      <c r="B136" t="s">
        <v>229</v>
      </c>
      <c r="C136" s="3" t="s">
        <v>214</v>
      </c>
      <c r="D136" s="3" t="s">
        <v>215</v>
      </c>
      <c r="E136" s="3" t="s">
        <v>35</v>
      </c>
      <c r="F136">
        <f>246+9</f>
        <v>255</v>
      </c>
      <c r="G136">
        <v>360</v>
      </c>
      <c r="H136" s="13">
        <v>70.833333333333343</v>
      </c>
      <c r="I136" s="13">
        <f>249+23</f>
        <v>272</v>
      </c>
      <c r="J136" s="13">
        <v>404</v>
      </c>
      <c r="K136" s="13">
        <v>73.56</v>
      </c>
      <c r="L136" s="13">
        <v>67.32673267326733</v>
      </c>
      <c r="M136" s="13">
        <f>229+4</f>
        <v>233</v>
      </c>
      <c r="N136" s="13">
        <v>432</v>
      </c>
      <c r="O136" s="13">
        <v>53.935185185185183</v>
      </c>
      <c r="P136">
        <f t="shared" si="19"/>
        <v>760</v>
      </c>
      <c r="Q136">
        <f t="shared" si="19"/>
        <v>1196</v>
      </c>
      <c r="R136" s="14">
        <f t="shared" si="17"/>
        <v>63.545150501672239</v>
      </c>
      <c r="S136">
        <v>71.900000000000006</v>
      </c>
      <c r="T136" s="14">
        <f t="shared" si="20"/>
        <v>8.3548494983277664</v>
      </c>
      <c r="U136" s="15" t="str">
        <f t="shared" si="21"/>
        <v>No</v>
      </c>
      <c r="V136" s="17" t="str">
        <f t="shared" si="22"/>
        <v>No</v>
      </c>
      <c r="W136" s="15" t="str">
        <f t="shared" si="23"/>
        <v>No</v>
      </c>
      <c r="X136" s="15" t="str">
        <f t="shared" si="24"/>
        <v>No</v>
      </c>
      <c r="Z136" s="18">
        <f t="shared" si="25"/>
        <v>2.7266666666666595</v>
      </c>
    </row>
    <row r="137" spans="1:26" ht="15.75" thickBot="1" x14ac:dyDescent="0.3">
      <c r="A137" s="1" t="s">
        <v>230</v>
      </c>
      <c r="B137" t="s">
        <v>231</v>
      </c>
      <c r="C137" s="3" t="s">
        <v>214</v>
      </c>
      <c r="D137" s="3" t="s">
        <v>215</v>
      </c>
      <c r="E137" s="3" t="s">
        <v>35</v>
      </c>
      <c r="F137">
        <f>224+6</f>
        <v>230</v>
      </c>
      <c r="G137">
        <v>411</v>
      </c>
      <c r="H137" s="13">
        <v>55.961070559610704</v>
      </c>
      <c r="I137" s="13">
        <f>194+30</f>
        <v>224</v>
      </c>
      <c r="J137" s="13">
        <v>432</v>
      </c>
      <c r="K137" s="13">
        <v>55.77</v>
      </c>
      <c r="L137" s="13">
        <v>51.851851851851848</v>
      </c>
      <c r="M137" s="13">
        <f>199+11</f>
        <v>210</v>
      </c>
      <c r="N137" s="13">
        <v>432</v>
      </c>
      <c r="O137" s="13">
        <v>48.611111111111107</v>
      </c>
      <c r="P137">
        <f t="shared" si="19"/>
        <v>664</v>
      </c>
      <c r="Q137">
        <f t="shared" si="19"/>
        <v>1275</v>
      </c>
      <c r="R137" s="14">
        <f t="shared" si="17"/>
        <v>52.078431372549019</v>
      </c>
      <c r="S137">
        <v>50</v>
      </c>
      <c r="T137" s="14">
        <f t="shared" si="20"/>
        <v>-2.0784313725490193</v>
      </c>
      <c r="U137" s="16" t="str">
        <f t="shared" si="21"/>
        <v>Yes</v>
      </c>
      <c r="V137" s="16" t="str">
        <f t="shared" si="22"/>
        <v>Yes</v>
      </c>
      <c r="W137" s="16" t="str">
        <f t="shared" si="23"/>
        <v>Yes</v>
      </c>
      <c r="X137" s="17" t="str">
        <f t="shared" si="24"/>
        <v>No</v>
      </c>
      <c r="Z137" s="18">
        <f t="shared" si="25"/>
        <v>-0.19107055961070074</v>
      </c>
    </row>
    <row r="138" spans="1:26" ht="16.5" thickTop="1" thickBot="1" x14ac:dyDescent="0.3">
      <c r="A138" s="1" t="s">
        <v>232</v>
      </c>
      <c r="B138" t="s">
        <v>233</v>
      </c>
      <c r="C138" s="3" t="s">
        <v>214</v>
      </c>
      <c r="D138" s="3" t="s">
        <v>215</v>
      </c>
      <c r="E138" s="3" t="s">
        <v>234</v>
      </c>
      <c r="F138" t="s">
        <v>234</v>
      </c>
      <c r="G138" t="s">
        <v>234</v>
      </c>
      <c r="H138" s="13" t="e">
        <v>#VALUE!</v>
      </c>
      <c r="I138" s="13" t="s">
        <v>234</v>
      </c>
      <c r="J138" s="13" t="s">
        <v>234</v>
      </c>
      <c r="K138" s="13"/>
      <c r="L138" s="13" t="e">
        <v>#VALUE!</v>
      </c>
      <c r="M138" s="13" t="s">
        <v>234</v>
      </c>
      <c r="N138" s="13" t="s">
        <v>234</v>
      </c>
      <c r="O138" s="13" t="e">
        <v>#VALUE!</v>
      </c>
      <c r="P138" t="s">
        <v>234</v>
      </c>
      <c r="Q138" t="s">
        <v>234</v>
      </c>
      <c r="R138" t="s">
        <v>234</v>
      </c>
      <c r="S138" t="s">
        <v>54</v>
      </c>
      <c r="T138" s="14" t="e">
        <f t="shared" si="20"/>
        <v>#VALUE!</v>
      </c>
      <c r="U138" s="19" t="str">
        <f t="shared" si="21"/>
        <v>Yes</v>
      </c>
      <c r="V138" s="23" t="e">
        <f t="shared" si="22"/>
        <v>#VALUE!</v>
      </c>
      <c r="W138" s="24" t="e">
        <f t="shared" si="23"/>
        <v>#VALUE!</v>
      </c>
      <c r="X138" s="24" t="e">
        <f t="shared" si="24"/>
        <v>#VALUE!</v>
      </c>
      <c r="Z138" s="18" t="e">
        <f t="shared" si="25"/>
        <v>#VALUE!</v>
      </c>
    </row>
    <row r="139" spans="1:26" ht="16.5" thickTop="1" thickBot="1" x14ac:dyDescent="0.3">
      <c r="A139" s="1" t="s">
        <v>235</v>
      </c>
      <c r="B139" t="s">
        <v>236</v>
      </c>
      <c r="C139" s="3" t="s">
        <v>214</v>
      </c>
      <c r="D139" s="3" t="s">
        <v>215</v>
      </c>
      <c r="E139" s="3" t="s">
        <v>234</v>
      </c>
      <c r="F139" t="s">
        <v>234</v>
      </c>
      <c r="G139" t="s">
        <v>234</v>
      </c>
      <c r="H139" s="13" t="e">
        <v>#VALUE!</v>
      </c>
      <c r="I139" s="13" t="s">
        <v>234</v>
      </c>
      <c r="J139" s="13" t="s">
        <v>234</v>
      </c>
      <c r="K139" s="13"/>
      <c r="L139" s="13" t="e">
        <v>#VALUE!</v>
      </c>
      <c r="M139" s="13" t="s">
        <v>234</v>
      </c>
      <c r="N139" s="13" t="s">
        <v>234</v>
      </c>
      <c r="O139" s="13" t="e">
        <v>#VALUE!</v>
      </c>
      <c r="P139" t="s">
        <v>234</v>
      </c>
      <c r="Q139" t="s">
        <v>234</v>
      </c>
      <c r="R139" t="s">
        <v>234</v>
      </c>
      <c r="S139" t="s">
        <v>54</v>
      </c>
      <c r="T139" s="14" t="e">
        <f t="shared" si="20"/>
        <v>#VALUE!</v>
      </c>
      <c r="U139" s="19" t="str">
        <f t="shared" si="21"/>
        <v>Yes</v>
      </c>
      <c r="V139" s="23" t="e">
        <f t="shared" si="22"/>
        <v>#VALUE!</v>
      </c>
      <c r="W139" s="24" t="e">
        <f t="shared" si="23"/>
        <v>#VALUE!</v>
      </c>
      <c r="X139" s="24" t="e">
        <f t="shared" si="24"/>
        <v>#VALUE!</v>
      </c>
      <c r="Z139" s="18" t="e">
        <f t="shared" si="25"/>
        <v>#VALUE!</v>
      </c>
    </row>
    <row r="140" spans="1:26" ht="16.5" thickTop="1" thickBot="1" x14ac:dyDescent="0.3">
      <c r="A140" s="1" t="s">
        <v>237</v>
      </c>
      <c r="B140" t="s">
        <v>238</v>
      </c>
      <c r="C140" s="3" t="s">
        <v>214</v>
      </c>
      <c r="D140" s="3" t="s">
        <v>215</v>
      </c>
      <c r="E140" s="3" t="s">
        <v>234</v>
      </c>
      <c r="F140" t="s">
        <v>234</v>
      </c>
      <c r="G140" t="s">
        <v>234</v>
      </c>
      <c r="H140" s="13" t="e">
        <v>#VALUE!</v>
      </c>
      <c r="I140" s="13" t="s">
        <v>234</v>
      </c>
      <c r="J140" s="13" t="s">
        <v>234</v>
      </c>
      <c r="K140" s="13"/>
      <c r="L140" s="13" t="e">
        <v>#VALUE!</v>
      </c>
      <c r="M140" s="13" t="s">
        <v>234</v>
      </c>
      <c r="N140" s="13" t="s">
        <v>234</v>
      </c>
      <c r="O140" s="13" t="e">
        <v>#VALUE!</v>
      </c>
      <c r="P140" t="s">
        <v>234</v>
      </c>
      <c r="Q140" t="s">
        <v>234</v>
      </c>
      <c r="R140" t="s">
        <v>234</v>
      </c>
      <c r="S140" t="s">
        <v>54</v>
      </c>
      <c r="T140" s="14" t="e">
        <f t="shared" si="20"/>
        <v>#VALUE!</v>
      </c>
      <c r="U140" s="19" t="str">
        <f t="shared" si="21"/>
        <v>Yes</v>
      </c>
      <c r="V140" s="24" t="e">
        <f t="shared" si="22"/>
        <v>#VALUE!</v>
      </c>
      <c r="W140" s="24" t="e">
        <f t="shared" si="23"/>
        <v>#VALUE!</v>
      </c>
      <c r="X140" s="24" t="e">
        <f t="shared" si="24"/>
        <v>#VALUE!</v>
      </c>
      <c r="Z140" s="18" t="e">
        <f t="shared" si="25"/>
        <v>#VALUE!</v>
      </c>
    </row>
    <row r="141" spans="1:26" ht="16.5" thickTop="1" thickBot="1" x14ac:dyDescent="0.3">
      <c r="A141" s="1" t="s">
        <v>239</v>
      </c>
      <c r="B141" s="20" t="s">
        <v>240</v>
      </c>
      <c r="C141" s="3" t="s">
        <v>214</v>
      </c>
      <c r="D141" s="3" t="s">
        <v>215</v>
      </c>
      <c r="E141" s="3" t="s">
        <v>234</v>
      </c>
      <c r="F141" t="s">
        <v>234</v>
      </c>
      <c r="G141" t="s">
        <v>234</v>
      </c>
      <c r="H141" s="13" t="e">
        <v>#VALUE!</v>
      </c>
      <c r="I141" s="13" t="s">
        <v>84</v>
      </c>
      <c r="J141" s="13" t="s">
        <v>84</v>
      </c>
      <c r="K141" s="13"/>
      <c r="L141" s="13" t="e">
        <v>#VALUE!</v>
      </c>
      <c r="M141" s="13" t="s">
        <v>234</v>
      </c>
      <c r="N141" s="13" t="s">
        <v>234</v>
      </c>
      <c r="O141" s="13" t="e">
        <v>#VALUE!</v>
      </c>
      <c r="P141" t="s">
        <v>234</v>
      </c>
      <c r="Q141" t="s">
        <v>234</v>
      </c>
      <c r="R141" t="s">
        <v>234</v>
      </c>
      <c r="S141" t="s">
        <v>54</v>
      </c>
      <c r="T141" s="14" t="e">
        <f t="shared" si="20"/>
        <v>#VALUE!</v>
      </c>
      <c r="U141" s="19" t="str">
        <f t="shared" si="21"/>
        <v>Yes</v>
      </c>
      <c r="V141" s="23" t="e">
        <f t="shared" si="22"/>
        <v>#VALUE!</v>
      </c>
      <c r="W141" s="24" t="e">
        <f t="shared" si="23"/>
        <v>#VALUE!</v>
      </c>
      <c r="X141" s="24" t="e">
        <f t="shared" si="24"/>
        <v>#VALUE!</v>
      </c>
      <c r="Z141" s="18" t="e">
        <f t="shared" si="25"/>
        <v>#VALUE!</v>
      </c>
    </row>
    <row r="142" spans="1:26" ht="15.75" thickTop="1" x14ac:dyDescent="0.25">
      <c r="B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26" x14ac:dyDescent="0.25">
      <c r="B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26" x14ac:dyDescent="0.25">
      <c r="B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6" spans="9:10" x14ac:dyDescent="0.25">
      <c r="I146">
        <f>1.96*((0.5208)/((664)^(1/2)))</f>
        <v>3.96134809912101E-2</v>
      </c>
      <c r="J146">
        <f>1.96*((0.5)/((400000)^(1/2)))</f>
        <v>1.5495160534825057E-3</v>
      </c>
    </row>
    <row r="147" spans="9:10" x14ac:dyDescent="0.25">
      <c r="I147">
        <f>I146*I146</f>
        <v>1.569227876240964E-3</v>
      </c>
      <c r="J147">
        <f>J146*J146</f>
        <v>2.4009999999999995E-6</v>
      </c>
    </row>
    <row r="149" spans="9:10" x14ac:dyDescent="0.25">
      <c r="I149">
        <f>I147+J147</f>
        <v>1.5716288762409639E-3</v>
      </c>
      <c r="J149">
        <f>((I149)^(1/2))</f>
        <v>3.9643774747631741E-2</v>
      </c>
    </row>
  </sheetData>
  <autoFilter ref="A2:Z2"/>
  <conditionalFormatting sqref="V3">
    <cfRule type="expression" dxfId="3" priority="4">
      <formula>"e2&lt;30"</formula>
    </cfRule>
  </conditionalFormatting>
  <conditionalFormatting sqref="X40">
    <cfRule type="expression" dxfId="2" priority="3">
      <formula>"k39&lt;30"</formula>
    </cfRule>
  </conditionalFormatting>
  <conditionalFormatting sqref="T3:T141">
    <cfRule type="cellIs" dxfId="1" priority="1" operator="lessThan">
      <formula>-3</formula>
    </cfRule>
    <cfRule type="cellIs" dxfId="0" priority="2" operator="greaterThan">
      <formula>5</formula>
    </cfRule>
  </conditionalFormatting>
  <pageMargins left="0.7" right="0.7" top="0.75" bottom="0.75" header="0.3" footer="0.3"/>
  <pageSetup scale="45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142"/>
  <sheetViews>
    <sheetView tabSelected="1" topLeftCell="A130" workbookViewId="0">
      <selection activeCell="A139" sqref="A139"/>
    </sheetView>
  </sheetViews>
  <sheetFormatPr defaultRowHeight="15" x14ac:dyDescent="0.25"/>
  <cols>
    <col min="1" max="1" width="60.5703125" style="27" customWidth="1"/>
    <col min="2" max="2" width="40.42578125" style="3" bestFit="1" customWidth="1"/>
    <col min="3" max="3" width="15.140625" style="3" bestFit="1" customWidth="1"/>
    <col min="4" max="4" width="22.7109375" style="3" customWidth="1"/>
    <col min="5" max="16384" width="9.140625" style="3"/>
  </cols>
  <sheetData>
    <row r="1" spans="1:4" ht="45" x14ac:dyDescent="0.25">
      <c r="A1" s="32" t="s">
        <v>241</v>
      </c>
      <c r="B1" s="33" t="s">
        <v>242</v>
      </c>
      <c r="C1" s="33" t="s">
        <v>243</v>
      </c>
      <c r="D1" s="34" t="s">
        <v>24</v>
      </c>
    </row>
    <row r="2" spans="1:4" x14ac:dyDescent="0.25">
      <c r="A2" s="55" t="s">
        <v>31</v>
      </c>
      <c r="B2" s="35" t="s">
        <v>32</v>
      </c>
      <c r="C2" s="36">
        <v>0.74703557312252966</v>
      </c>
      <c r="D2" s="37">
        <v>0.79900000000000004</v>
      </c>
    </row>
    <row r="3" spans="1:4" ht="30" x14ac:dyDescent="0.25">
      <c r="A3" s="56" t="s">
        <v>36</v>
      </c>
      <c r="B3" s="38" t="s">
        <v>37</v>
      </c>
      <c r="C3" s="39">
        <v>0.40941176470588236</v>
      </c>
      <c r="D3" s="40">
        <v>0.64</v>
      </c>
    </row>
    <row r="4" spans="1:4" x14ac:dyDescent="0.25">
      <c r="A4" s="57"/>
      <c r="B4" s="30" t="s">
        <v>38</v>
      </c>
      <c r="C4" s="31">
        <v>0.4172549019607843</v>
      </c>
      <c r="D4" s="41">
        <v>0.60499999999999998</v>
      </c>
    </row>
    <row r="5" spans="1:4" x14ac:dyDescent="0.25">
      <c r="A5" s="58"/>
      <c r="B5" s="28" t="s">
        <v>39</v>
      </c>
      <c r="C5" s="29">
        <v>0.39215686274509809</v>
      </c>
      <c r="D5" s="42">
        <v>0.53500000000000003</v>
      </c>
    </row>
    <row r="6" spans="1:4" x14ac:dyDescent="0.25">
      <c r="A6" s="56" t="s">
        <v>40</v>
      </c>
      <c r="B6" s="38" t="s">
        <v>41</v>
      </c>
      <c r="C6" s="39">
        <v>0.74196078431372536</v>
      </c>
      <c r="D6" s="40">
        <v>0.78</v>
      </c>
    </row>
    <row r="7" spans="1:4" x14ac:dyDescent="0.25">
      <c r="A7" s="57"/>
      <c r="B7" s="30" t="s">
        <v>42</v>
      </c>
      <c r="C7" s="31">
        <v>0.8784313725490196</v>
      </c>
      <c r="D7" s="41">
        <v>0.89</v>
      </c>
    </row>
    <row r="8" spans="1:4" x14ac:dyDescent="0.25">
      <c r="A8" s="57"/>
      <c r="B8" s="30" t="s">
        <v>43</v>
      </c>
      <c r="C8" s="31">
        <v>0.88627450980392153</v>
      </c>
      <c r="D8" s="41">
        <v>0.9</v>
      </c>
    </row>
    <row r="9" spans="1:4" x14ac:dyDescent="0.25">
      <c r="A9" s="57"/>
      <c r="B9" s="30" t="s">
        <v>44</v>
      </c>
      <c r="C9" s="31">
        <v>0.89254901960784305</v>
      </c>
      <c r="D9" s="41">
        <v>0.89300000000000002</v>
      </c>
    </row>
    <row r="10" spans="1:4" x14ac:dyDescent="0.25">
      <c r="A10" s="57"/>
      <c r="B10" s="30" t="s">
        <v>45</v>
      </c>
      <c r="C10" s="31">
        <v>0.83137254901960789</v>
      </c>
      <c r="D10" s="41">
        <v>0.89300000000000002</v>
      </c>
    </row>
    <row r="11" spans="1:4" x14ac:dyDescent="0.25">
      <c r="A11" s="57"/>
      <c r="B11" s="30" t="s">
        <v>46</v>
      </c>
      <c r="C11" s="31">
        <v>0.8917647058823529</v>
      </c>
      <c r="D11" s="41">
        <v>0.89700000000000002</v>
      </c>
    </row>
    <row r="12" spans="1:4" x14ac:dyDescent="0.25">
      <c r="A12" s="57"/>
      <c r="B12" s="30" t="s">
        <v>47</v>
      </c>
      <c r="C12" s="31">
        <v>0.76627450980392153</v>
      </c>
      <c r="D12" s="41">
        <v>0.78299999999999992</v>
      </c>
    </row>
    <row r="13" spans="1:4" x14ac:dyDescent="0.25">
      <c r="A13" s="57"/>
      <c r="B13" s="30" t="s">
        <v>48</v>
      </c>
      <c r="C13" s="31">
        <v>0.8243137254901961</v>
      </c>
      <c r="D13" s="41">
        <v>0.83400000000000007</v>
      </c>
    </row>
    <row r="14" spans="1:4" x14ac:dyDescent="0.25">
      <c r="A14" s="57"/>
      <c r="B14" s="30" t="s">
        <v>49</v>
      </c>
      <c r="C14" s="31">
        <v>0.65411764705882358</v>
      </c>
      <c r="D14" s="41">
        <v>0.68099999999999994</v>
      </c>
    </row>
    <row r="15" spans="1:4" x14ac:dyDescent="0.25">
      <c r="A15" s="57"/>
      <c r="B15" s="30" t="s">
        <v>50</v>
      </c>
      <c r="C15" s="31">
        <v>0.57411764705882351</v>
      </c>
      <c r="D15" s="41">
        <v>0.51100000000000001</v>
      </c>
    </row>
    <row r="16" spans="1:4" x14ac:dyDescent="0.25">
      <c r="A16" s="57"/>
      <c r="B16" s="30" t="s">
        <v>51</v>
      </c>
      <c r="C16" s="31">
        <v>0.67843137254901964</v>
      </c>
      <c r="D16" s="41">
        <v>0.73799999999999999</v>
      </c>
    </row>
    <row r="17" spans="1:4" x14ac:dyDescent="0.25">
      <c r="A17" s="57"/>
      <c r="B17" s="30" t="s">
        <v>52</v>
      </c>
      <c r="C17" s="31">
        <v>0.65411764705882358</v>
      </c>
      <c r="D17" s="41">
        <v>0.70400000000000007</v>
      </c>
    </row>
    <row r="18" spans="1:4" x14ac:dyDescent="0.25">
      <c r="A18" s="57"/>
      <c r="B18" s="30" t="s">
        <v>53</v>
      </c>
      <c r="C18" s="31">
        <v>0.61411764705882355</v>
      </c>
      <c r="D18" s="47" t="s">
        <v>54</v>
      </c>
    </row>
    <row r="19" spans="1:4" x14ac:dyDescent="0.25">
      <c r="A19" s="57"/>
      <c r="B19" s="30" t="s">
        <v>55</v>
      </c>
      <c r="C19" s="31">
        <v>0.53019607843137251</v>
      </c>
      <c r="D19" s="47" t="s">
        <v>54</v>
      </c>
    </row>
    <row r="20" spans="1:4" x14ac:dyDescent="0.25">
      <c r="A20" s="57"/>
      <c r="B20" s="30" t="s">
        <v>56</v>
      </c>
      <c r="C20" s="31">
        <v>0.45882352941176469</v>
      </c>
      <c r="D20" s="47" t="s">
        <v>54</v>
      </c>
    </row>
    <row r="21" spans="1:4" x14ac:dyDescent="0.25">
      <c r="A21" s="57"/>
      <c r="B21" s="30" t="s">
        <v>57</v>
      </c>
      <c r="C21" s="31">
        <v>0.50745098039215686</v>
      </c>
      <c r="D21" s="47" t="s">
        <v>54</v>
      </c>
    </row>
    <row r="22" spans="1:4" x14ac:dyDescent="0.25">
      <c r="A22" s="57"/>
      <c r="B22" s="30" t="s">
        <v>58</v>
      </c>
      <c r="C22" s="31">
        <v>0.44313725490196076</v>
      </c>
      <c r="D22" s="47" t="s">
        <v>54</v>
      </c>
    </row>
    <row r="23" spans="1:4" x14ac:dyDescent="0.25">
      <c r="A23" s="57"/>
      <c r="B23" s="30" t="s">
        <v>59</v>
      </c>
      <c r="C23" s="31">
        <v>0.39215686274509809</v>
      </c>
      <c r="D23" s="47" t="s">
        <v>54</v>
      </c>
    </row>
    <row r="24" spans="1:4" x14ac:dyDescent="0.25">
      <c r="A24" s="58"/>
      <c r="B24" s="28" t="s">
        <v>60</v>
      </c>
      <c r="C24" s="29">
        <v>0.38196078431372549</v>
      </c>
      <c r="D24" s="42">
        <v>0.36099999999999999</v>
      </c>
    </row>
    <row r="25" spans="1:4" x14ac:dyDescent="0.25">
      <c r="A25" s="56" t="s">
        <v>61</v>
      </c>
      <c r="B25" s="38" t="s">
        <v>62</v>
      </c>
      <c r="C25" s="39">
        <v>0.74720149253731338</v>
      </c>
      <c r="D25" s="40">
        <v>0.7340000000000001</v>
      </c>
    </row>
    <row r="26" spans="1:4" x14ac:dyDescent="0.25">
      <c r="A26" s="57"/>
      <c r="B26" s="30" t="s">
        <v>63</v>
      </c>
      <c r="C26" s="31">
        <v>0.83675373134328357</v>
      </c>
      <c r="D26" s="41">
        <v>0.83700000000000008</v>
      </c>
    </row>
    <row r="27" spans="1:4" x14ac:dyDescent="0.25">
      <c r="A27" s="58"/>
      <c r="B27" s="28" t="s">
        <v>64</v>
      </c>
      <c r="C27" s="29">
        <v>0.73880597014925375</v>
      </c>
      <c r="D27" s="42">
        <v>0.71400000000000008</v>
      </c>
    </row>
    <row r="28" spans="1:4" x14ac:dyDescent="0.25">
      <c r="A28" s="55" t="s">
        <v>65</v>
      </c>
      <c r="B28" s="35" t="s">
        <v>66</v>
      </c>
      <c r="C28" s="36">
        <v>0.21282279608192345</v>
      </c>
      <c r="D28" s="37">
        <v>0.222</v>
      </c>
    </row>
    <row r="29" spans="1:4" x14ac:dyDescent="0.25">
      <c r="A29" s="55" t="s">
        <v>67</v>
      </c>
      <c r="B29" s="35" t="s">
        <v>68</v>
      </c>
      <c r="C29" s="36">
        <v>0.64862745098039232</v>
      </c>
      <c r="D29" s="37">
        <v>0.66799999999999993</v>
      </c>
    </row>
    <row r="30" spans="1:4" x14ac:dyDescent="0.25">
      <c r="A30" s="55" t="s">
        <v>69</v>
      </c>
      <c r="B30" s="35" t="s">
        <v>70</v>
      </c>
      <c r="C30" s="36">
        <v>0.52325581395348841</v>
      </c>
      <c r="D30" s="37">
        <v>0.58799999999999997</v>
      </c>
    </row>
    <row r="31" spans="1:4" x14ac:dyDescent="0.25">
      <c r="A31" s="55" t="s">
        <v>72</v>
      </c>
      <c r="B31" s="35" t="s">
        <v>73</v>
      </c>
      <c r="C31" s="36">
        <v>0.60163265306122449</v>
      </c>
      <c r="D31" s="37">
        <v>0.60199999999999998</v>
      </c>
    </row>
    <row r="32" spans="1:4" ht="30" x14ac:dyDescent="0.25">
      <c r="A32" s="55" t="s">
        <v>74</v>
      </c>
      <c r="B32" s="35" t="s">
        <v>75</v>
      </c>
      <c r="C32" s="36">
        <v>3.5813120625101745E-2</v>
      </c>
      <c r="D32" s="37">
        <v>3.7999999999999999E-2</v>
      </c>
    </row>
    <row r="33" spans="1:4" x14ac:dyDescent="0.25">
      <c r="A33" s="56" t="s">
        <v>76</v>
      </c>
      <c r="B33" s="38" t="s">
        <v>77</v>
      </c>
      <c r="C33" s="39">
        <v>0.2928</v>
      </c>
      <c r="D33" s="40">
        <v>0.51200000000000001</v>
      </c>
    </row>
    <row r="34" spans="1:4" x14ac:dyDescent="0.25">
      <c r="A34" s="57"/>
      <c r="B34" s="30" t="s">
        <v>78</v>
      </c>
      <c r="C34" s="31">
        <v>0.4423511680482291</v>
      </c>
      <c r="D34" s="41">
        <v>0.60099999999999998</v>
      </c>
    </row>
    <row r="35" spans="1:4" x14ac:dyDescent="0.25">
      <c r="A35" s="58"/>
      <c r="B35" s="28" t="s">
        <v>79</v>
      </c>
      <c r="C35" s="29">
        <v>0.33737646001796945</v>
      </c>
      <c r="D35" s="42">
        <v>0.54600000000000004</v>
      </c>
    </row>
    <row r="36" spans="1:4" x14ac:dyDescent="0.25">
      <c r="A36" s="55" t="s">
        <v>80</v>
      </c>
      <c r="B36" s="43" t="s">
        <v>81</v>
      </c>
      <c r="C36" s="48" t="s">
        <v>54</v>
      </c>
      <c r="D36" s="37">
        <v>0.69499999999999995</v>
      </c>
    </row>
    <row r="37" spans="1:4" x14ac:dyDescent="0.25">
      <c r="A37" s="55" t="s">
        <v>85</v>
      </c>
      <c r="B37" s="43" t="s">
        <v>86</v>
      </c>
      <c r="C37" s="48" t="s">
        <v>54</v>
      </c>
      <c r="D37" s="37">
        <v>0.87</v>
      </c>
    </row>
    <row r="38" spans="1:4" x14ac:dyDescent="0.25">
      <c r="A38" s="55" t="s">
        <v>87</v>
      </c>
      <c r="B38" s="43" t="s">
        <v>88</v>
      </c>
      <c r="C38" s="48" t="s">
        <v>54</v>
      </c>
      <c r="D38" s="37">
        <v>0.28499999999999998</v>
      </c>
    </row>
    <row r="39" spans="1:4" ht="30" x14ac:dyDescent="0.25">
      <c r="A39" s="55" t="s">
        <v>89</v>
      </c>
      <c r="B39" s="43" t="s">
        <v>90</v>
      </c>
      <c r="C39" s="36">
        <v>0.31791907514450868</v>
      </c>
      <c r="D39" s="37">
        <v>0.31</v>
      </c>
    </row>
    <row r="40" spans="1:4" x14ac:dyDescent="0.25">
      <c r="A40" s="56" t="s">
        <v>91</v>
      </c>
      <c r="B40" s="44" t="s">
        <v>92</v>
      </c>
      <c r="C40" s="49" t="s">
        <v>54</v>
      </c>
      <c r="D40" s="40">
        <v>0.65300000000000002</v>
      </c>
    </row>
    <row r="41" spans="1:4" x14ac:dyDescent="0.25">
      <c r="A41" s="58"/>
      <c r="B41" s="45" t="s">
        <v>93</v>
      </c>
      <c r="C41" s="50" t="s">
        <v>54</v>
      </c>
      <c r="D41" s="42">
        <v>0.79</v>
      </c>
    </row>
    <row r="42" spans="1:4" x14ac:dyDescent="0.25">
      <c r="A42" s="56" t="s">
        <v>94</v>
      </c>
      <c r="B42" s="44" t="s">
        <v>95</v>
      </c>
      <c r="C42" s="49" t="s">
        <v>54</v>
      </c>
      <c r="D42" s="51" t="s">
        <v>54</v>
      </c>
    </row>
    <row r="43" spans="1:4" x14ac:dyDescent="0.25">
      <c r="A43" s="57"/>
      <c r="B43" s="46" t="s">
        <v>96</v>
      </c>
      <c r="C43" s="52" t="s">
        <v>54</v>
      </c>
      <c r="D43" s="47" t="s">
        <v>54</v>
      </c>
    </row>
    <row r="44" spans="1:4" x14ac:dyDescent="0.25">
      <c r="A44" s="57"/>
      <c r="B44" s="46" t="s">
        <v>97</v>
      </c>
      <c r="C44" s="52" t="s">
        <v>54</v>
      </c>
      <c r="D44" s="47" t="s">
        <v>54</v>
      </c>
    </row>
    <row r="45" spans="1:4" x14ac:dyDescent="0.25">
      <c r="A45" s="57"/>
      <c r="B45" s="46" t="s">
        <v>98</v>
      </c>
      <c r="C45" s="52" t="s">
        <v>54</v>
      </c>
      <c r="D45" s="47" t="s">
        <v>54</v>
      </c>
    </row>
    <row r="46" spans="1:4" x14ac:dyDescent="0.25">
      <c r="A46" s="58"/>
      <c r="B46" s="45" t="s">
        <v>99</v>
      </c>
      <c r="C46" s="50" t="s">
        <v>54</v>
      </c>
      <c r="D46" s="53" t="s">
        <v>54</v>
      </c>
    </row>
    <row r="47" spans="1:4" x14ac:dyDescent="0.25">
      <c r="A47" s="56" t="s">
        <v>100</v>
      </c>
      <c r="B47" s="44" t="s">
        <v>101</v>
      </c>
      <c r="C47" s="49" t="s">
        <v>54</v>
      </c>
      <c r="D47" s="51" t="s">
        <v>54</v>
      </c>
    </row>
    <row r="48" spans="1:4" x14ac:dyDescent="0.25">
      <c r="A48" s="57"/>
      <c r="B48" s="46" t="s">
        <v>102</v>
      </c>
      <c r="C48" s="52" t="s">
        <v>54</v>
      </c>
      <c r="D48" s="41">
        <v>0.26600000000000001</v>
      </c>
    </row>
    <row r="49" spans="1:4" x14ac:dyDescent="0.25">
      <c r="A49" s="57"/>
      <c r="B49" s="46" t="s">
        <v>103</v>
      </c>
      <c r="C49" s="52" t="s">
        <v>54</v>
      </c>
      <c r="D49" s="47" t="s">
        <v>54</v>
      </c>
    </row>
    <row r="50" spans="1:4" x14ac:dyDescent="0.25">
      <c r="A50" s="57"/>
      <c r="B50" s="46" t="s">
        <v>104</v>
      </c>
      <c r="C50" s="52" t="s">
        <v>54</v>
      </c>
      <c r="D50" s="41">
        <v>0.24299999999999999</v>
      </c>
    </row>
    <row r="51" spans="1:4" x14ac:dyDescent="0.25">
      <c r="A51" s="57"/>
      <c r="B51" s="46" t="s">
        <v>105</v>
      </c>
      <c r="C51" s="52" t="s">
        <v>54</v>
      </c>
      <c r="D51" s="47" t="s">
        <v>54</v>
      </c>
    </row>
    <row r="52" spans="1:4" x14ac:dyDescent="0.25">
      <c r="A52" s="57"/>
      <c r="B52" s="46" t="s">
        <v>106</v>
      </c>
      <c r="C52" s="52" t="s">
        <v>54</v>
      </c>
      <c r="D52" s="41">
        <v>0.35600000000000004</v>
      </c>
    </row>
    <row r="53" spans="1:4" x14ac:dyDescent="0.25">
      <c r="A53" s="57"/>
      <c r="B53" s="46" t="s">
        <v>107</v>
      </c>
      <c r="C53" s="52" t="s">
        <v>54</v>
      </c>
      <c r="D53" s="47" t="s">
        <v>54</v>
      </c>
    </row>
    <row r="54" spans="1:4" x14ac:dyDescent="0.25">
      <c r="A54" s="57"/>
      <c r="B54" s="46" t="s">
        <v>108</v>
      </c>
      <c r="C54" s="52" t="s">
        <v>54</v>
      </c>
      <c r="D54" s="41">
        <v>0.48200000000000004</v>
      </c>
    </row>
    <row r="55" spans="1:4" x14ac:dyDescent="0.25">
      <c r="A55" s="57"/>
      <c r="B55" s="46" t="s">
        <v>109</v>
      </c>
      <c r="C55" s="52" t="s">
        <v>54</v>
      </c>
      <c r="D55" s="47" t="s">
        <v>54</v>
      </c>
    </row>
    <row r="56" spans="1:4" x14ac:dyDescent="0.25">
      <c r="A56" s="58"/>
      <c r="B56" s="45" t="s">
        <v>110</v>
      </c>
      <c r="C56" s="50" t="s">
        <v>54</v>
      </c>
      <c r="D56" s="42">
        <v>0.30499999999999999</v>
      </c>
    </row>
    <row r="57" spans="1:4" x14ac:dyDescent="0.25">
      <c r="A57" s="56" t="s">
        <v>111</v>
      </c>
      <c r="B57" s="44" t="s">
        <v>112</v>
      </c>
      <c r="C57" s="49" t="s">
        <v>54</v>
      </c>
      <c r="D57" s="40">
        <v>0.69499999999999995</v>
      </c>
    </row>
    <row r="58" spans="1:4" x14ac:dyDescent="0.25">
      <c r="A58" s="57"/>
      <c r="B58" s="46" t="s">
        <v>113</v>
      </c>
      <c r="C58" s="52" t="s">
        <v>54</v>
      </c>
      <c r="D58" s="41">
        <v>0.57700000000000007</v>
      </c>
    </row>
    <row r="59" spans="1:4" x14ac:dyDescent="0.25">
      <c r="A59" s="57"/>
      <c r="B59" s="46" t="s">
        <v>114</v>
      </c>
      <c r="C59" s="52" t="s">
        <v>54</v>
      </c>
      <c r="D59" s="41">
        <v>0.47200000000000003</v>
      </c>
    </row>
    <row r="60" spans="1:4" x14ac:dyDescent="0.25">
      <c r="A60" s="57"/>
      <c r="B60" s="46" t="s">
        <v>115</v>
      </c>
      <c r="C60" s="52" t="s">
        <v>54</v>
      </c>
      <c r="D60" s="41">
        <v>0.49099999999999999</v>
      </c>
    </row>
    <row r="61" spans="1:4" x14ac:dyDescent="0.25">
      <c r="A61" s="58"/>
      <c r="B61" s="45" t="s">
        <v>116</v>
      </c>
      <c r="C61" s="50" t="s">
        <v>54</v>
      </c>
      <c r="D61" s="42">
        <v>0.59399999999999997</v>
      </c>
    </row>
    <row r="62" spans="1:4" x14ac:dyDescent="0.25">
      <c r="A62" s="55" t="s">
        <v>117</v>
      </c>
      <c r="B62" s="35" t="s">
        <v>118</v>
      </c>
      <c r="C62" s="36">
        <v>0.56272401433691754</v>
      </c>
      <c r="D62" s="37">
        <v>0.58099999999999996</v>
      </c>
    </row>
    <row r="63" spans="1:4" x14ac:dyDescent="0.25">
      <c r="A63" s="55" t="s">
        <v>121</v>
      </c>
      <c r="B63" s="43" t="s">
        <v>122</v>
      </c>
      <c r="C63" s="48" t="s">
        <v>54</v>
      </c>
      <c r="D63" s="37">
        <v>0.83299999999999996</v>
      </c>
    </row>
    <row r="64" spans="1:4" x14ac:dyDescent="0.25">
      <c r="A64" s="56" t="s">
        <v>123</v>
      </c>
      <c r="B64" s="38" t="s">
        <v>124</v>
      </c>
      <c r="C64" s="39">
        <v>0.88617886178861793</v>
      </c>
      <c r="D64" s="40">
        <v>0.86299999999999999</v>
      </c>
    </row>
    <row r="65" spans="1:4" x14ac:dyDescent="0.25">
      <c r="A65" s="57"/>
      <c r="B65" s="30" t="s">
        <v>127</v>
      </c>
      <c r="C65" s="31">
        <v>0.45596205962059622</v>
      </c>
      <c r="D65" s="41">
        <v>0.436</v>
      </c>
    </row>
    <row r="66" spans="1:4" x14ac:dyDescent="0.25">
      <c r="A66" s="57"/>
      <c r="B66" s="30" t="s">
        <v>128</v>
      </c>
      <c r="C66" s="31">
        <v>0.44850948509485095</v>
      </c>
      <c r="D66" s="41">
        <v>0.46500000000000002</v>
      </c>
    </row>
    <row r="67" spans="1:4" x14ac:dyDescent="0.25">
      <c r="A67" s="57"/>
      <c r="B67" s="30" t="s">
        <v>129</v>
      </c>
      <c r="C67" s="31">
        <v>0.28792822185970635</v>
      </c>
      <c r="D67" s="41">
        <v>0.34100000000000003</v>
      </c>
    </row>
    <row r="68" spans="1:4" x14ac:dyDescent="0.25">
      <c r="A68" s="57"/>
      <c r="B68" s="30" t="s">
        <v>130</v>
      </c>
      <c r="C68" s="31">
        <v>0.56504065040650409</v>
      </c>
      <c r="D68" s="41">
        <v>0.54400000000000004</v>
      </c>
    </row>
    <row r="69" spans="1:4" x14ac:dyDescent="0.25">
      <c r="A69" s="57"/>
      <c r="B69" s="30" t="s">
        <v>131</v>
      </c>
      <c r="C69" s="31">
        <v>0.77168021680216792</v>
      </c>
      <c r="D69" s="41">
        <v>0.80900000000000005</v>
      </c>
    </row>
    <row r="70" spans="1:4" x14ac:dyDescent="0.25">
      <c r="A70" s="58"/>
      <c r="B70" s="28" t="s">
        <v>132</v>
      </c>
      <c r="C70" s="29">
        <v>0.64634146341463417</v>
      </c>
      <c r="D70" s="42">
        <v>0.61899999999999999</v>
      </c>
    </row>
    <row r="71" spans="1:4" ht="30" x14ac:dyDescent="0.25">
      <c r="A71" s="55" t="s">
        <v>133</v>
      </c>
      <c r="B71" s="43" t="s">
        <v>134</v>
      </c>
      <c r="C71" s="48" t="s">
        <v>54</v>
      </c>
      <c r="D71" s="37">
        <v>0.69499999999999995</v>
      </c>
    </row>
    <row r="72" spans="1:4" x14ac:dyDescent="0.25">
      <c r="A72" s="55" t="s">
        <v>137</v>
      </c>
      <c r="B72" s="35" t="s">
        <v>138</v>
      </c>
      <c r="C72" s="36">
        <v>0.76547231270358307</v>
      </c>
      <c r="D72" s="37">
        <v>0.75099999999999989</v>
      </c>
    </row>
    <row r="73" spans="1:4" x14ac:dyDescent="0.25">
      <c r="A73" s="56" t="s">
        <v>139</v>
      </c>
      <c r="B73" s="44" t="s">
        <v>140</v>
      </c>
      <c r="C73" s="49" t="s">
        <v>54</v>
      </c>
      <c r="D73" s="40">
        <v>0.52300000000000002</v>
      </c>
    </row>
    <row r="74" spans="1:4" x14ac:dyDescent="0.25">
      <c r="A74" s="58"/>
      <c r="B74" s="45" t="s">
        <v>143</v>
      </c>
      <c r="C74" s="50" t="s">
        <v>54</v>
      </c>
      <c r="D74" s="42">
        <v>0.371</v>
      </c>
    </row>
    <row r="75" spans="1:4" x14ac:dyDescent="0.25">
      <c r="A75" s="56" t="s">
        <v>144</v>
      </c>
      <c r="B75" s="44" t="s">
        <v>145</v>
      </c>
      <c r="C75" s="49" t="s">
        <v>54</v>
      </c>
      <c r="D75" s="40">
        <v>0.40100000000000002</v>
      </c>
    </row>
    <row r="76" spans="1:4" x14ac:dyDescent="0.25">
      <c r="A76" s="58"/>
      <c r="B76" s="45" t="s">
        <v>146</v>
      </c>
      <c r="C76" s="50" t="s">
        <v>54</v>
      </c>
      <c r="D76" s="42">
        <v>0.47499999999999998</v>
      </c>
    </row>
    <row r="77" spans="1:4" x14ac:dyDescent="0.25">
      <c r="A77" s="56" t="s">
        <v>147</v>
      </c>
      <c r="B77" s="44" t="s">
        <v>148</v>
      </c>
      <c r="C77" s="49" t="s">
        <v>54</v>
      </c>
      <c r="D77" s="40">
        <v>0.63</v>
      </c>
    </row>
    <row r="78" spans="1:4" x14ac:dyDescent="0.25">
      <c r="A78" s="58"/>
      <c r="B78" s="45" t="s">
        <v>149</v>
      </c>
      <c r="C78" s="50" t="s">
        <v>54</v>
      </c>
      <c r="D78" s="42">
        <v>0.439</v>
      </c>
    </row>
    <row r="79" spans="1:4" ht="30" x14ac:dyDescent="0.25">
      <c r="A79" s="55" t="s">
        <v>150</v>
      </c>
      <c r="B79" s="43" t="s">
        <v>151</v>
      </c>
      <c r="C79" s="48" t="s">
        <v>54</v>
      </c>
      <c r="D79" s="37">
        <v>0.79799999999999993</v>
      </c>
    </row>
    <row r="80" spans="1:4" x14ac:dyDescent="0.25">
      <c r="A80" s="55" t="s">
        <v>152</v>
      </c>
      <c r="B80" s="43" t="s">
        <v>153</v>
      </c>
      <c r="C80" s="48" t="s">
        <v>54</v>
      </c>
      <c r="D80" s="37">
        <v>0.69299999999999995</v>
      </c>
    </row>
    <row r="81" spans="1:4" ht="30" x14ac:dyDescent="0.25">
      <c r="A81" s="55" t="s">
        <v>154</v>
      </c>
      <c r="B81" s="43" t="s">
        <v>155</v>
      </c>
      <c r="C81" s="48" t="s">
        <v>54</v>
      </c>
      <c r="D81" s="37">
        <v>0.76200000000000001</v>
      </c>
    </row>
    <row r="82" spans="1:4" ht="30" x14ac:dyDescent="0.25">
      <c r="A82" s="55" t="s">
        <v>156</v>
      </c>
      <c r="B82" s="43" t="s">
        <v>157</v>
      </c>
      <c r="C82" s="48" t="s">
        <v>54</v>
      </c>
      <c r="D82" s="37">
        <v>0.60099999999999998</v>
      </c>
    </row>
    <row r="83" spans="1:4" ht="30" x14ac:dyDescent="0.25">
      <c r="A83" s="56" t="s">
        <v>158</v>
      </c>
      <c r="B83" s="44" t="s">
        <v>159</v>
      </c>
      <c r="C83" s="49" t="s">
        <v>54</v>
      </c>
      <c r="D83" s="51" t="s">
        <v>54</v>
      </c>
    </row>
    <row r="84" spans="1:4" x14ac:dyDescent="0.25">
      <c r="A84" s="57"/>
      <c r="B84" s="46" t="s">
        <v>160</v>
      </c>
      <c r="C84" s="52" t="s">
        <v>54</v>
      </c>
      <c r="D84" s="47" t="s">
        <v>54</v>
      </c>
    </row>
    <row r="85" spans="1:4" x14ac:dyDescent="0.25">
      <c r="A85" s="57"/>
      <c r="B85" s="46" t="s">
        <v>161</v>
      </c>
      <c r="C85" s="52" t="s">
        <v>54</v>
      </c>
      <c r="D85" s="47" t="s">
        <v>54</v>
      </c>
    </row>
    <row r="86" spans="1:4" x14ac:dyDescent="0.25">
      <c r="A86" s="58"/>
      <c r="B86" s="45" t="s">
        <v>162</v>
      </c>
      <c r="C86" s="50" t="s">
        <v>54</v>
      </c>
      <c r="D86" s="53" t="s">
        <v>54</v>
      </c>
    </row>
    <row r="87" spans="1:4" ht="30" x14ac:dyDescent="0.25">
      <c r="A87" s="56" t="s">
        <v>163</v>
      </c>
      <c r="B87" s="44" t="s">
        <v>164</v>
      </c>
      <c r="C87" s="49" t="s">
        <v>54</v>
      </c>
      <c r="D87" s="51" t="s">
        <v>54</v>
      </c>
    </row>
    <row r="88" spans="1:4" x14ac:dyDescent="0.25">
      <c r="A88" s="57"/>
      <c r="B88" s="46" t="s">
        <v>165</v>
      </c>
      <c r="C88" s="52" t="s">
        <v>54</v>
      </c>
      <c r="D88" s="47" t="s">
        <v>54</v>
      </c>
    </row>
    <row r="89" spans="1:4" x14ac:dyDescent="0.25">
      <c r="A89" s="57"/>
      <c r="B89" s="46" t="s">
        <v>166</v>
      </c>
      <c r="C89" s="52" t="s">
        <v>54</v>
      </c>
      <c r="D89" s="47" t="s">
        <v>54</v>
      </c>
    </row>
    <row r="90" spans="1:4" x14ac:dyDescent="0.25">
      <c r="A90" s="58"/>
      <c r="B90" s="45" t="s">
        <v>167</v>
      </c>
      <c r="C90" s="50" t="s">
        <v>54</v>
      </c>
      <c r="D90" s="53" t="s">
        <v>54</v>
      </c>
    </row>
    <row r="91" spans="1:4" x14ac:dyDescent="0.25">
      <c r="A91" s="56" t="s">
        <v>168</v>
      </c>
      <c r="B91" s="44" t="s">
        <v>169</v>
      </c>
      <c r="C91" s="49" t="s">
        <v>54</v>
      </c>
      <c r="D91" s="40">
        <v>0.872</v>
      </c>
    </row>
    <row r="92" spans="1:4" x14ac:dyDescent="0.25">
      <c r="A92" s="57"/>
      <c r="B92" s="46" t="s">
        <v>172</v>
      </c>
      <c r="C92" s="52" t="s">
        <v>54</v>
      </c>
      <c r="D92" s="41">
        <v>0.54</v>
      </c>
    </row>
    <row r="93" spans="1:4" x14ac:dyDescent="0.25">
      <c r="A93" s="57"/>
      <c r="B93" s="46" t="s">
        <v>173</v>
      </c>
      <c r="C93" s="52" t="s">
        <v>54</v>
      </c>
      <c r="D93" s="41">
        <v>0.86900000000000011</v>
      </c>
    </row>
    <row r="94" spans="1:4" x14ac:dyDescent="0.25">
      <c r="A94" s="58"/>
      <c r="B94" s="45" t="s">
        <v>174</v>
      </c>
      <c r="C94" s="50" t="s">
        <v>54</v>
      </c>
      <c r="D94" s="42">
        <v>0.86799999999999999</v>
      </c>
    </row>
    <row r="95" spans="1:4" x14ac:dyDescent="0.25">
      <c r="A95" s="56" t="s">
        <v>175</v>
      </c>
      <c r="B95" s="38" t="s">
        <v>176</v>
      </c>
      <c r="C95" s="39">
        <v>0.88763186057177801</v>
      </c>
      <c r="D95" s="51" t="s">
        <v>54</v>
      </c>
    </row>
    <row r="96" spans="1:4" x14ac:dyDescent="0.25">
      <c r="A96" s="57"/>
      <c r="B96" s="30" t="s">
        <v>179</v>
      </c>
      <c r="C96" s="31">
        <v>0.91763713080168774</v>
      </c>
      <c r="D96" s="47" t="s">
        <v>54</v>
      </c>
    </row>
    <row r="97" spans="1:4" x14ac:dyDescent="0.25">
      <c r="A97" s="57"/>
      <c r="B97" s="30" t="s">
        <v>180</v>
      </c>
      <c r="C97" s="31">
        <v>0.90927835051546391</v>
      </c>
      <c r="D97" s="47" t="s">
        <v>54</v>
      </c>
    </row>
    <row r="98" spans="1:4" x14ac:dyDescent="0.25">
      <c r="A98" s="58"/>
      <c r="B98" s="28" t="s">
        <v>181</v>
      </c>
      <c r="C98" s="29">
        <v>0.89758221955248541</v>
      </c>
      <c r="D98" s="53" t="s">
        <v>54</v>
      </c>
    </row>
    <row r="99" spans="1:4" x14ac:dyDescent="0.25">
      <c r="A99" s="56" t="s">
        <v>182</v>
      </c>
      <c r="B99" s="38" t="s">
        <v>183</v>
      </c>
      <c r="C99" s="39">
        <v>0.97316845543630426</v>
      </c>
      <c r="D99" s="40">
        <v>0.95499999999999996</v>
      </c>
    </row>
    <row r="100" spans="1:4" x14ac:dyDescent="0.25">
      <c r="A100" s="57"/>
      <c r="B100" s="30" t="s">
        <v>184</v>
      </c>
      <c r="C100" s="31">
        <v>0.90797284544430579</v>
      </c>
      <c r="D100" s="41">
        <v>0.878</v>
      </c>
    </row>
    <row r="101" spans="1:4" x14ac:dyDescent="0.25">
      <c r="A101" s="57"/>
      <c r="B101" s="30" t="s">
        <v>185</v>
      </c>
      <c r="C101" s="31">
        <v>0.9074634392334846</v>
      </c>
      <c r="D101" s="41">
        <v>0.91</v>
      </c>
    </row>
    <row r="102" spans="1:4" x14ac:dyDescent="0.25">
      <c r="A102" s="58"/>
      <c r="B102" s="28" t="s">
        <v>186</v>
      </c>
      <c r="C102" s="29">
        <v>0.93408977139996663</v>
      </c>
      <c r="D102" s="42">
        <v>0.89300000000000002</v>
      </c>
    </row>
    <row r="103" spans="1:4" x14ac:dyDescent="0.25">
      <c r="A103" s="56" t="s">
        <v>187</v>
      </c>
      <c r="B103" s="44" t="s">
        <v>188</v>
      </c>
      <c r="C103" s="49" t="s">
        <v>54</v>
      </c>
      <c r="D103" s="40">
        <v>0.35600000000000004</v>
      </c>
    </row>
    <row r="104" spans="1:4" x14ac:dyDescent="0.25">
      <c r="A104" s="57"/>
      <c r="B104" s="46" t="s">
        <v>189</v>
      </c>
      <c r="C104" s="52" t="s">
        <v>54</v>
      </c>
      <c r="D104" s="41">
        <v>0.56999999999999995</v>
      </c>
    </row>
    <row r="105" spans="1:4" x14ac:dyDescent="0.25">
      <c r="A105" s="57"/>
      <c r="B105" s="46" t="s">
        <v>190</v>
      </c>
      <c r="C105" s="52" t="s">
        <v>54</v>
      </c>
      <c r="D105" s="41">
        <v>0.59699999999999998</v>
      </c>
    </row>
    <row r="106" spans="1:4" x14ac:dyDescent="0.25">
      <c r="A106" s="57"/>
      <c r="B106" s="46" t="s">
        <v>191</v>
      </c>
      <c r="C106" s="52" t="s">
        <v>54</v>
      </c>
      <c r="D106" s="41">
        <v>0.54799999999999993</v>
      </c>
    </row>
    <row r="107" spans="1:4" x14ac:dyDescent="0.25">
      <c r="A107" s="57"/>
      <c r="B107" s="46" t="s">
        <v>192</v>
      </c>
      <c r="C107" s="52" t="s">
        <v>54</v>
      </c>
      <c r="D107" s="41">
        <v>0.46799999999999997</v>
      </c>
    </row>
    <row r="108" spans="1:4" x14ac:dyDescent="0.25">
      <c r="A108" s="57"/>
      <c r="B108" s="46" t="s">
        <v>193</v>
      </c>
      <c r="C108" s="52" t="s">
        <v>54</v>
      </c>
      <c r="D108" s="41">
        <v>0.32</v>
      </c>
    </row>
    <row r="109" spans="1:4" x14ac:dyDescent="0.25">
      <c r="A109" s="58"/>
      <c r="B109" s="45" t="s">
        <v>194</v>
      </c>
      <c r="C109" s="50" t="s">
        <v>54</v>
      </c>
      <c r="D109" s="53" t="s">
        <v>54</v>
      </c>
    </row>
    <row r="110" spans="1:4" x14ac:dyDescent="0.25">
      <c r="A110" s="56" t="s">
        <v>195</v>
      </c>
      <c r="B110" s="44" t="s">
        <v>196</v>
      </c>
      <c r="C110" s="49" t="s">
        <v>54</v>
      </c>
      <c r="D110" s="51" t="s">
        <v>54</v>
      </c>
    </row>
    <row r="111" spans="1:4" x14ac:dyDescent="0.25">
      <c r="A111" s="57"/>
      <c r="B111" s="46" t="s">
        <v>197</v>
      </c>
      <c r="C111" s="52" t="s">
        <v>54</v>
      </c>
      <c r="D111" s="47" t="s">
        <v>54</v>
      </c>
    </row>
    <row r="112" spans="1:4" x14ac:dyDescent="0.25">
      <c r="A112" s="57"/>
      <c r="B112" s="46" t="s">
        <v>198</v>
      </c>
      <c r="C112" s="52" t="s">
        <v>54</v>
      </c>
      <c r="D112" s="47" t="s">
        <v>54</v>
      </c>
    </row>
    <row r="113" spans="1:4" x14ac:dyDescent="0.25">
      <c r="A113" s="57"/>
      <c r="B113" s="46" t="s">
        <v>199</v>
      </c>
      <c r="C113" s="52" t="s">
        <v>54</v>
      </c>
      <c r="D113" s="47" t="s">
        <v>54</v>
      </c>
    </row>
    <row r="114" spans="1:4" x14ac:dyDescent="0.25">
      <c r="A114" s="57"/>
      <c r="B114" s="46" t="s">
        <v>200</v>
      </c>
      <c r="C114" s="52" t="s">
        <v>54</v>
      </c>
      <c r="D114" s="41">
        <v>0.38299999999999995</v>
      </c>
    </row>
    <row r="115" spans="1:4" x14ac:dyDescent="0.25">
      <c r="A115" s="58"/>
      <c r="B115" s="45" t="s">
        <v>201</v>
      </c>
      <c r="C115" s="50" t="s">
        <v>54</v>
      </c>
      <c r="D115" s="42">
        <v>0.113</v>
      </c>
    </row>
    <row r="116" spans="1:4" x14ac:dyDescent="0.25">
      <c r="A116" s="56" t="s">
        <v>202</v>
      </c>
      <c r="B116" s="38" t="s">
        <v>203</v>
      </c>
      <c r="C116" s="39">
        <v>0.82932891466445735</v>
      </c>
      <c r="D116" s="40">
        <v>0.82400000000000007</v>
      </c>
    </row>
    <row r="117" spans="1:4" x14ac:dyDescent="0.25">
      <c r="A117" s="58"/>
      <c r="B117" s="28" t="s">
        <v>204</v>
      </c>
      <c r="C117" s="29">
        <v>0.63711681855840929</v>
      </c>
      <c r="D117" s="42">
        <v>0.61799999999999999</v>
      </c>
    </row>
    <row r="118" spans="1:4" x14ac:dyDescent="0.25">
      <c r="A118" s="55" t="s">
        <v>205</v>
      </c>
      <c r="B118" s="43" t="s">
        <v>206</v>
      </c>
      <c r="C118" s="48" t="s">
        <v>54</v>
      </c>
      <c r="D118" s="54" t="s">
        <v>54</v>
      </c>
    </row>
    <row r="119" spans="1:4" ht="30" x14ac:dyDescent="0.25">
      <c r="A119" s="56" t="s">
        <v>207</v>
      </c>
      <c r="B119" s="44" t="s">
        <v>208</v>
      </c>
      <c r="C119" s="49" t="s">
        <v>54</v>
      </c>
      <c r="D119" s="51" t="s">
        <v>54</v>
      </c>
    </row>
    <row r="120" spans="1:4" x14ac:dyDescent="0.25">
      <c r="A120" s="57"/>
      <c r="B120" s="46" t="s">
        <v>209</v>
      </c>
      <c r="C120" s="52" t="s">
        <v>54</v>
      </c>
      <c r="D120" s="47" t="s">
        <v>54</v>
      </c>
    </row>
    <row r="121" spans="1:4" x14ac:dyDescent="0.25">
      <c r="A121" s="57"/>
      <c r="B121" s="46" t="s">
        <v>210</v>
      </c>
      <c r="C121" s="52" t="s">
        <v>54</v>
      </c>
      <c r="D121" s="47" t="s">
        <v>54</v>
      </c>
    </row>
    <row r="122" spans="1:4" x14ac:dyDescent="0.25">
      <c r="A122" s="58"/>
      <c r="B122" s="45" t="s">
        <v>211</v>
      </c>
      <c r="C122" s="50" t="s">
        <v>54</v>
      </c>
      <c r="D122" s="53" t="s">
        <v>54</v>
      </c>
    </row>
    <row r="123" spans="1:4" x14ac:dyDescent="0.25">
      <c r="A123" s="56" t="s">
        <v>212</v>
      </c>
      <c r="B123" s="38" t="s">
        <v>213</v>
      </c>
      <c r="C123" s="39">
        <v>0.11433305716652858</v>
      </c>
      <c r="D123" s="40">
        <v>0.14199999999999999</v>
      </c>
    </row>
    <row r="124" spans="1:4" x14ac:dyDescent="0.25">
      <c r="A124" s="57"/>
      <c r="B124" s="30" t="s">
        <v>216</v>
      </c>
      <c r="C124" s="31">
        <v>5.9652029826014911E-2</v>
      </c>
      <c r="D124" s="41">
        <v>7.5999999999999998E-2</v>
      </c>
    </row>
    <row r="125" spans="1:4" x14ac:dyDescent="0.25">
      <c r="A125" s="57"/>
      <c r="B125" s="30" t="s">
        <v>217</v>
      </c>
      <c r="C125" s="31">
        <v>6.8765534382767196E-2</v>
      </c>
      <c r="D125" s="41">
        <v>8.4000000000000005E-2</v>
      </c>
    </row>
    <row r="126" spans="1:4" x14ac:dyDescent="0.25">
      <c r="A126" s="57"/>
      <c r="B126" s="30" t="s">
        <v>218</v>
      </c>
      <c r="C126" s="31">
        <v>0.13587406793703397</v>
      </c>
      <c r="D126" s="41">
        <v>0.14499999999999999</v>
      </c>
    </row>
    <row r="127" spans="1:4" x14ac:dyDescent="0.25">
      <c r="A127" s="58"/>
      <c r="B127" s="28" t="s">
        <v>219</v>
      </c>
      <c r="C127" s="29">
        <v>0.62137531068765539</v>
      </c>
      <c r="D127" s="42">
        <v>0.55200000000000005</v>
      </c>
    </row>
    <row r="128" spans="1:4" x14ac:dyDescent="0.25">
      <c r="A128" s="56" t="s">
        <v>220</v>
      </c>
      <c r="B128" s="38" t="s">
        <v>221</v>
      </c>
      <c r="C128" s="39">
        <v>2.3529411764705882E-2</v>
      </c>
      <c r="D128" s="51" t="s">
        <v>54</v>
      </c>
    </row>
    <row r="129" spans="1:4" x14ac:dyDescent="0.25">
      <c r="A129" s="57"/>
      <c r="B129" s="30" t="s">
        <v>222</v>
      </c>
      <c r="C129" s="31">
        <v>2.5098039215686273E-2</v>
      </c>
      <c r="D129" s="47" t="s">
        <v>54</v>
      </c>
    </row>
    <row r="130" spans="1:4" x14ac:dyDescent="0.25">
      <c r="A130" s="57"/>
      <c r="B130" s="30" t="s">
        <v>223</v>
      </c>
      <c r="C130" s="31">
        <v>2.5882352941176471E-2</v>
      </c>
      <c r="D130" s="47" t="s">
        <v>54</v>
      </c>
    </row>
    <row r="131" spans="1:4" x14ac:dyDescent="0.25">
      <c r="A131" s="57"/>
      <c r="B131" s="30" t="s">
        <v>224</v>
      </c>
      <c r="C131" s="31">
        <v>4.7843137254901962E-2</v>
      </c>
      <c r="D131" s="47" t="s">
        <v>54</v>
      </c>
    </row>
    <row r="132" spans="1:4" x14ac:dyDescent="0.25">
      <c r="A132" s="57"/>
      <c r="B132" s="30" t="s">
        <v>225</v>
      </c>
      <c r="C132" s="31">
        <v>0.12549019607843137</v>
      </c>
      <c r="D132" s="47" t="s">
        <v>54</v>
      </c>
    </row>
    <row r="133" spans="1:4" x14ac:dyDescent="0.25">
      <c r="A133" s="57"/>
      <c r="B133" s="30" t="s">
        <v>226</v>
      </c>
      <c r="C133" s="31">
        <v>0.26745098039215687</v>
      </c>
      <c r="D133" s="47" t="s">
        <v>54</v>
      </c>
    </row>
    <row r="134" spans="1:4" x14ac:dyDescent="0.25">
      <c r="A134" s="58"/>
      <c r="B134" s="28" t="s">
        <v>227</v>
      </c>
      <c r="C134" s="29">
        <v>0.48470588235294115</v>
      </c>
      <c r="D134" s="42">
        <v>0.58899999999999997</v>
      </c>
    </row>
    <row r="135" spans="1:4" x14ac:dyDescent="0.25">
      <c r="A135" s="55" t="s">
        <v>228</v>
      </c>
      <c r="B135" s="35" t="s">
        <v>229</v>
      </c>
      <c r="C135" s="36">
        <v>0.63545150501672243</v>
      </c>
      <c r="D135" s="37">
        <v>0.71900000000000008</v>
      </c>
    </row>
    <row r="136" spans="1:4" x14ac:dyDescent="0.25">
      <c r="A136" s="55" t="s">
        <v>230</v>
      </c>
      <c r="B136" s="35" t="s">
        <v>231</v>
      </c>
      <c r="C136" s="36">
        <v>0.52078431372549017</v>
      </c>
      <c r="D136" s="37">
        <v>0.5</v>
      </c>
    </row>
    <row r="139" spans="1:4" x14ac:dyDescent="0.25">
      <c r="A139" s="61" t="s">
        <v>244</v>
      </c>
    </row>
    <row r="140" spans="1:4" ht="45" customHeight="1" x14ac:dyDescent="0.25">
      <c r="A140" s="59" t="s">
        <v>245</v>
      </c>
      <c r="B140" s="59"/>
    </row>
    <row r="141" spans="1:4" ht="30" customHeight="1" x14ac:dyDescent="0.25">
      <c r="A141" s="59" t="s">
        <v>246</v>
      </c>
      <c r="B141" s="59"/>
    </row>
    <row r="142" spans="1:4" x14ac:dyDescent="0.25">
      <c r="A142" s="60" t="s">
        <v>247</v>
      </c>
      <c r="B142" s="60"/>
    </row>
  </sheetData>
  <mergeCells count="3">
    <mergeCell ref="A140:B140"/>
    <mergeCell ref="A141:B141"/>
    <mergeCell ref="A142:B142"/>
  </mergeCells>
  <pageMargins left="0.7" right="0.7" top="0.75" bottom="0.75" header="0.3" footer="0.3"/>
  <pageSetup scale="65" fitToHeight="0" orientation="portrait" r:id="rId1"/>
  <headerFooter>
    <oddHeader>&amp;CNebraska Medicaid - HEDIS Rates</oddHeader>
    <oddFooter>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Topic xmlns="32249c65-da49-47e9-984a-f0159a6f027c" xsi:nil="true"/>
    <DHHSInternetPCM xmlns="32249c65-da49-47e9-984a-f0159a6f027c"/>
    <DHHSInternetDivision xmlns="32249c65-da49-47e9-984a-f0159a6f027c" xsi:nil="true"/>
    <DHHSInternetWCP xmlns="32249c65-da49-47e9-984a-f0159a6f027c"/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F1FEB8F40E8FCE49866B63B2C1871D94" ma:contentTypeVersion="5" ma:contentTypeDescription="" ma:contentTypeScope="" ma:versionID="f4b016b8adf107cbb7bac46debb26e54">
  <xsd:schema xmlns:xsd="http://www.w3.org/2001/XMLSchema" xmlns:xs="http://www.w3.org/2001/XMLSchema" xmlns:p="http://schemas.microsoft.com/office/2006/metadata/properties" xmlns:ns2="32249c65-da49-47e9-984a-f0159a6f027c" targetNamespace="http://schemas.microsoft.com/office/2006/metadata/properties" ma:root="true" ma:fieldsID="b88077d2cce469c43263bcb1995184f4" ns2:_=""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DHHSInternetDivision" minOccurs="0"/>
                <xsd:element ref="ns2:DHHSInternetTopic" minOccurs="0"/>
                <xsd:element ref="ns2:DHHSInternetPCM" minOccurs="0"/>
                <xsd:element ref="ns2:DHHSInternetWCP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8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9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Current DHMs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10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11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CBC99E-0B02-4D8F-BE8B-BDC00B610CB7}"/>
</file>

<file path=customXml/itemProps2.xml><?xml version="1.0" encoding="utf-8"?>
<ds:datastoreItem xmlns:ds="http://schemas.openxmlformats.org/officeDocument/2006/customXml" ds:itemID="{AB49584F-6F62-4ED4-AC04-867D15A46E15}"/>
</file>

<file path=customXml/itemProps3.xml><?xml version="1.0" encoding="utf-8"?>
<ds:datastoreItem xmlns:ds="http://schemas.openxmlformats.org/officeDocument/2006/customXml" ds:itemID="{188928FA-2C94-4232-BFF0-F545A14E1B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Main</vt:lpstr>
      <vt:lpstr>Sheet2</vt:lpstr>
      <vt:lpstr>Sheet2!Print_Area</vt:lpstr>
      <vt:lpstr>Sheet2!Print_Titles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Alex</dc:creator>
  <cp:lastModifiedBy>Aaron Ziska</cp:lastModifiedBy>
  <cp:lastPrinted>2016-09-08T18:49:08Z</cp:lastPrinted>
  <dcterms:created xsi:type="dcterms:W3CDTF">2016-09-07T04:04:06Z</dcterms:created>
  <dcterms:modified xsi:type="dcterms:W3CDTF">2016-09-08T18:49:27Z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163316687</vt:i4>
  </property>
  <property fmtid="{D5CDD505-2E9C-101B-9397-08002B2CF9AE}" pid="3" name="_NewReviewCycle">
    <vt:lpwstr/>
  </property>
  <property fmtid="{D5CDD505-2E9C-101B-9397-08002B2CF9AE}" pid="4" name="_EmailSubject">
    <vt:lpwstr>QMC Materials</vt:lpwstr>
  </property>
  <property fmtid="{D5CDD505-2E9C-101B-9397-08002B2CF9AE}" pid="5" name="_AuthorEmail">
    <vt:lpwstr>Randy.Miller@nebraska.gov</vt:lpwstr>
  </property>
  <property fmtid="{D5CDD505-2E9C-101B-9397-08002B2CF9AE}" pid="6" name="_AuthorEmailDisplayName">
    <vt:lpwstr>Miller, Randy</vt:lpwstr>
  </property>
  <property fmtid="{D5CDD505-2E9C-101B-9397-08002B2CF9AE}" pid="7" name="_PreviousAdHocReviewCycleID">
    <vt:i4>1049198041</vt:i4>
  </property>
  <property fmtid="{D5CDD505-2E9C-101B-9397-08002B2CF9AE}" pid="8" name="ContentTypeId">
    <vt:lpwstr>0x010100BAD75EA75CD83B45A34259F0B184D02700F1FEB8F40E8FCE49866B63B2C1871D94</vt:lpwstr>
  </property>
  <property fmtid="{D5CDD505-2E9C-101B-9397-08002B2CF9AE}" pid="9" name="Order">
    <vt:r8>842000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  <property fmtid="{D5CDD505-2E9C-101B-9397-08002B2CF9AE}" pid="16" name="ComplianceAssetId">
    <vt:lpwstr/>
  </property>
</Properties>
</file>