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optumas7400-my.sharepoint.com/personal/barry_jordan_optumas_com/Documents/Desktop/Nebraska/MCO Procurement/RFP Question Responses/"/>
    </mc:Choice>
  </mc:AlternateContent>
  <xr:revisionPtr revIDLastSave="5" documentId="8_{F894B6F4-3DDE-4907-B27A-F39E19FDD243}" xr6:coauthVersionLast="47" xr6:coauthVersionMax="47" xr10:uidLastSave="{8961FCAA-5012-4050-AA6B-B0B95BEE725D}"/>
  <bookViews>
    <workbookView xWindow="735" yWindow="735" windowWidth="27720" windowHeight="14670" xr2:uid="{70B6535F-35F6-40FD-9A15-302AD428EB52}"/>
  </bookViews>
  <sheets>
    <sheet name="Contents" sheetId="5" r:id="rId1"/>
    <sheet name="High Cost Drug Risk Corridor" sheetId="1" r:id="rId2"/>
    <sheet name="Expansion Risk Corridor" sheetId="3" r:id="rId3"/>
    <sheet name="HIPP Risk Corridor Summary" sheetId="2" r:id="rId4"/>
    <sheet name="PW RC and MLR Calc Examples" sheetId="4" r:id="rId5"/>
  </sheets>
  <definedNames>
    <definedName name="_xlnm.Print_Area" localSheetId="0">Contents!$B$2:$C$6</definedName>
    <definedName name="_xlnm.Print_Area" localSheetId="2">'Expansion Risk Corridor'!$B$2:$F$41</definedName>
    <definedName name="_xlnm.Print_Area" localSheetId="3">'HIPP Risk Corridor Summary'!$B$1:$P$25</definedName>
    <definedName name="_xlnm.Print_Area" localSheetId="4">'PW RC and MLR Calc Examples'!$B$2:$D$56,'PW RC and MLR Calc Examples'!$F$2:$H$56,'PW RC and MLR Calc Examples'!$J$2:$L$56</definedName>
    <definedName name="_xlnm.Print_Titles" localSheetId="1">'High Cost Drug Risk Corridor'!$2:$2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9" i="4" l="1"/>
  <c r="H9" i="4"/>
  <c r="L47" i="4" l="1"/>
  <c r="L45" i="4"/>
  <c r="L44" i="4"/>
  <c r="K44" i="4"/>
  <c r="L42" i="4"/>
  <c r="L40" i="4"/>
  <c r="L48" i="4" s="1"/>
  <c r="J39" i="4"/>
  <c r="L28" i="4"/>
  <c r="L29" i="4" s="1"/>
  <c r="L26" i="4"/>
  <c r="L10" i="4"/>
  <c r="L11" i="4" s="1"/>
  <c r="H47" i="4"/>
  <c r="H45" i="4"/>
  <c r="H44" i="4"/>
  <c r="G44" i="4"/>
  <c r="H42" i="4"/>
  <c r="H40" i="4"/>
  <c r="F39" i="4"/>
  <c r="H28" i="4"/>
  <c r="H26" i="4"/>
  <c r="H10" i="4"/>
  <c r="H11" i="4" s="1"/>
  <c r="H12" i="4" s="1"/>
  <c r="H15" i="4" s="1"/>
  <c r="H19" i="4" s="1"/>
  <c r="L12" i="4" l="1"/>
  <c r="L15" i="4" s="1"/>
  <c r="L19" i="4" s="1"/>
  <c r="H29" i="4"/>
  <c r="H30" i="4" s="1"/>
  <c r="H48" i="4"/>
  <c r="H37" i="4"/>
  <c r="L30" i="4" l="1"/>
  <c r="L37" i="4"/>
  <c r="H31" i="4"/>
  <c r="H33" i="4" s="1"/>
  <c r="L31" i="4" l="1"/>
  <c r="L33" i="4" s="1"/>
  <c r="H32" i="4"/>
  <c r="H34" i="4" s="1"/>
  <c r="H38" i="4"/>
  <c r="H39" i="4" s="1"/>
  <c r="H49" i="4" s="1"/>
  <c r="H51" i="4" s="1"/>
  <c r="H52" i="4" s="1"/>
  <c r="L32" i="4" l="1"/>
  <c r="L34" i="4" s="1"/>
  <c r="L38" i="4"/>
  <c r="L39" i="4" s="1"/>
  <c r="L49" i="4" s="1"/>
  <c r="L51" i="4" s="1"/>
  <c r="L52" i="4" s="1"/>
  <c r="D47" i="4" l="1"/>
  <c r="D45" i="4"/>
  <c r="D44" i="4"/>
  <c r="C44" i="4"/>
  <c r="D42" i="4"/>
  <c r="D40" i="4"/>
  <c r="B39" i="4"/>
  <c r="D28" i="4"/>
  <c r="D26" i="4"/>
  <c r="D10" i="4"/>
  <c r="D11" i="4" s="1"/>
  <c r="D9" i="4"/>
  <c r="D48" i="4" l="1"/>
  <c r="D12" i="4"/>
  <c r="D15" i="4" s="1"/>
  <c r="D19" i="4" s="1"/>
  <c r="D29" i="4"/>
  <c r="D30" i="4" l="1"/>
  <c r="D31" i="4" s="1"/>
  <c r="D37" i="4"/>
  <c r="D33" i="4" l="1"/>
  <c r="D32" i="4"/>
  <c r="D34" i="4" s="1"/>
  <c r="D38" i="4"/>
  <c r="D39" i="4" s="1"/>
  <c r="D49" i="4" s="1"/>
  <c r="D51" i="4" s="1"/>
  <c r="D52" i="4" s="1"/>
  <c r="E38" i="3" l="1"/>
  <c r="E37" i="3"/>
  <c r="E36" i="3"/>
  <c r="E35" i="3"/>
  <c r="C29" i="3"/>
  <c r="E24" i="3"/>
  <c r="E23" i="3"/>
  <c r="E22" i="3"/>
  <c r="C22" i="3"/>
  <c r="B22" i="3" s="1"/>
  <c r="C21" i="3" s="1"/>
  <c r="E21" i="3"/>
  <c r="C16" i="3"/>
  <c r="C15" i="3"/>
  <c r="D8" i="3"/>
  <c r="D10" i="3" s="1"/>
  <c r="C31" i="3" s="1"/>
  <c r="C8" i="3"/>
  <c r="C10" i="3" s="1"/>
  <c r="C17" i="3" s="1"/>
  <c r="K20" i="2"/>
  <c r="E20" i="2"/>
  <c r="K19" i="2"/>
  <c r="E19" i="2"/>
  <c r="K18" i="2"/>
  <c r="E18" i="2"/>
  <c r="K17" i="2"/>
  <c r="E17" i="2"/>
  <c r="E7" i="2"/>
  <c r="E6" i="2"/>
  <c r="E5" i="2"/>
  <c r="C18" i="3" l="1"/>
  <c r="C32" i="3"/>
  <c r="B23" i="3"/>
  <c r="C23" i="3" s="1"/>
  <c r="B24" i="3" s="1"/>
  <c r="C30" i="3"/>
  <c r="C36" i="3" s="1"/>
  <c r="B37" i="3" l="1"/>
  <c r="C37" i="3" s="1"/>
  <c r="B38" i="3" s="1"/>
  <c r="B36" i="3"/>
  <c r="C35" i="3" s="1"/>
  <c r="F38" i="3"/>
  <c r="C38" i="3"/>
  <c r="F35" i="3"/>
  <c r="F39" i="3" s="1"/>
  <c r="C24" i="3"/>
  <c r="F21" i="3"/>
  <c r="F24" i="3"/>
  <c r="F25" i="3" l="1"/>
  <c r="F27" i="3" s="1"/>
  <c r="F40" i="3"/>
  <c r="F41" i="3"/>
  <c r="I11" i="2"/>
  <c r="I18" i="2" s="1"/>
  <c r="C11" i="2"/>
  <c r="C18" i="2" s="1"/>
  <c r="I10" i="2"/>
  <c r="C10" i="2"/>
  <c r="F26" i="3" l="1"/>
  <c r="H19" i="2"/>
  <c r="I19" i="2" s="1"/>
  <c r="H20" i="2" s="1"/>
  <c r="H18" i="2"/>
  <c r="I17" i="2" s="1"/>
  <c r="C13" i="2"/>
  <c r="I13" i="2"/>
  <c r="B18" i="2"/>
  <c r="C17" i="2" s="1"/>
  <c r="B19" i="2"/>
  <c r="C19" i="2" s="1"/>
  <c r="B20" i="2" s="1"/>
  <c r="C14" i="2" l="1"/>
  <c r="I14" i="2"/>
  <c r="F20" i="2" l="1"/>
  <c r="F17" i="2"/>
  <c r="F21" i="2" s="1"/>
  <c r="C20" i="2"/>
  <c r="I20" i="2"/>
  <c r="L17" i="2"/>
  <c r="L20" i="2"/>
  <c r="F23" i="2" l="1"/>
  <c r="F22" i="2"/>
  <c r="L21" i="2"/>
  <c r="L23" i="2" l="1"/>
  <c r="L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Optumas</author>
  </authors>
  <commentList>
    <comment ref="B5" authorId="0" shapeId="0" xr:uid="{E75A0846-8BFB-44DF-BDAD-BE27C90A2714}">
      <text>
        <r>
          <rPr>
            <b/>
            <sz val="9"/>
            <color indexed="81"/>
            <rFont val="Tahoma"/>
            <family val="2"/>
          </rPr>
          <t>Optumas:</t>
        </r>
        <r>
          <rPr>
            <sz val="9"/>
            <color indexed="81"/>
            <rFont val="Tahoma"/>
            <family val="2"/>
          </rPr>
          <t xml:space="preserve">
Approximate statewide weighted average PMPM for CY22 Expansion Rates
Actual risk corridor settlement revenue will be based on each MCOs' respective enrollment mix in the contract period of the various Expansion rating cohorts (19-44M, 19-44F, 45-64 M&amp;F for each RR).</t>
        </r>
      </text>
    </comment>
    <comment ref="B6" authorId="0" shapeId="0" xr:uid="{ADEB4804-E861-40A8-BF23-DF891C4FD5ED}">
      <text>
        <r>
          <rPr>
            <b/>
            <sz val="9"/>
            <color indexed="81"/>
            <rFont val="Tahoma"/>
            <family val="2"/>
          </rPr>
          <t>Optumas:</t>
        </r>
        <r>
          <rPr>
            <sz val="9"/>
            <color indexed="81"/>
            <rFont val="Tahoma"/>
            <family val="2"/>
          </rPr>
          <t xml:space="preserve">
Note that for final reconciliation this admin % would reflect net admin load, recognizing that UNMC directed payment portion of rates does not receive an admin load but only a P/R/C load. Therefore effective admin % would be lower than the admin load applied to non UNMC portion of rates, since UNMC experience will be included in the numerator and denominator.</t>
        </r>
      </text>
    </comment>
    <comment ref="F20" authorId="0" shapeId="0" xr:uid="{6E47CA71-B857-4244-878A-E02C4FEF5645}">
      <text>
        <r>
          <rPr>
            <b/>
            <sz val="9"/>
            <color indexed="81"/>
            <rFont val="Tahoma"/>
            <family val="2"/>
          </rPr>
          <t>Optumas:</t>
        </r>
        <r>
          <rPr>
            <sz val="9"/>
            <color indexed="81"/>
            <rFont val="Tahoma"/>
            <family val="2"/>
          </rPr>
          <t xml:space="preserve">
Number in Recoupment/Payout column indicates amount State/Fed would pay to MCO under scenario. Negative amount means that State/Fed would collect dollars from MCO.</t>
        </r>
      </text>
    </comment>
    <comment ref="F34" authorId="0" shapeId="0" xr:uid="{756A87BA-6461-4052-93A3-8F6F0B80BECB}">
      <text>
        <r>
          <rPr>
            <b/>
            <sz val="9"/>
            <color indexed="81"/>
            <rFont val="Tahoma"/>
            <family val="2"/>
          </rPr>
          <t>Optumas:</t>
        </r>
        <r>
          <rPr>
            <sz val="9"/>
            <color indexed="81"/>
            <rFont val="Tahoma"/>
            <family val="2"/>
          </rPr>
          <t xml:space="preserve">
Number in Recoupment/Payout column indicates amount State/Fed would pay to MCO under scenario. Negative amount means that State/Fed would collect dollars from MCO.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Optumas</author>
  </authors>
  <commentList>
    <comment ref="F4" authorId="0" shapeId="0" xr:uid="{0026C7B6-B240-42C8-9E94-019BAFA373AD}">
      <text>
        <r>
          <rPr>
            <b/>
            <sz val="9"/>
            <color indexed="81"/>
            <rFont val="Tahoma"/>
            <family val="2"/>
          </rPr>
          <t>Optumas:</t>
        </r>
        <r>
          <rPr>
            <sz val="9"/>
            <color indexed="81"/>
            <rFont val="Tahoma"/>
            <family val="2"/>
          </rPr>
          <t xml:space="preserve">
This will be replaced with actual enrollment mix, specific to each MCO, to determine the target MLR as well as overall capitation revenue for risk corridor purposes.</t>
        </r>
      </text>
    </comment>
    <comment ref="F16" authorId="0" shapeId="0" xr:uid="{A94E221B-9FD4-4414-8508-11AE38E59838}">
      <text>
        <r>
          <rPr>
            <b/>
            <sz val="9"/>
            <color indexed="81"/>
            <rFont val="Tahoma"/>
            <family val="2"/>
          </rPr>
          <t>Optumas:</t>
        </r>
        <r>
          <rPr>
            <sz val="9"/>
            <color indexed="81"/>
            <rFont val="Tahoma"/>
            <family val="2"/>
          </rPr>
          <t xml:space="preserve">
Number in Recoupment/Payout column indicates amount State/Fed would pay to MCO under scenario. Negative amount means that State/Fed would collect dollars from MCO.</t>
        </r>
      </text>
    </comment>
    <comment ref="L16" authorId="0" shapeId="0" xr:uid="{8218281D-5B24-4658-9290-EC9237E21B60}">
      <text>
        <r>
          <rPr>
            <b/>
            <sz val="9"/>
            <color indexed="81"/>
            <rFont val="Tahoma"/>
            <family val="2"/>
          </rPr>
          <t>Optumas:</t>
        </r>
        <r>
          <rPr>
            <sz val="9"/>
            <color indexed="81"/>
            <rFont val="Tahoma"/>
            <family val="2"/>
          </rPr>
          <t xml:space="preserve">
Number in Recoupment/Payout column indicates amount State/Fed would pay to MCO under scenario. Negative amount means that State/Fed would collect dollars from MCO.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Optumas</author>
  </authors>
  <commentList>
    <comment ref="D9" authorId="0" shapeId="0" xr:uid="{9A1581AA-88F3-4071-9620-A8FEB5015D45}">
      <text>
        <r>
          <rPr>
            <b/>
            <sz val="9"/>
            <color indexed="81"/>
            <rFont val="Tahoma"/>
            <family val="2"/>
          </rPr>
          <t>Optumas:</t>
        </r>
        <r>
          <rPr>
            <sz val="9"/>
            <color indexed="81"/>
            <rFont val="Tahoma"/>
            <family val="2"/>
          </rPr>
          <t xml:space="preserve">
0.5% used for illustrative purposes
This reflects allowance for 
Federal, State, and local taxes and licensing and regulatory fees as defined under 42 CFR 438.8(f)(3)</t>
        </r>
      </text>
    </comment>
    <comment ref="H9" authorId="0" shapeId="0" xr:uid="{2210693D-AACE-4461-9426-CB16CFDB8BAC}">
      <text>
        <r>
          <rPr>
            <b/>
            <sz val="9"/>
            <color indexed="81"/>
            <rFont val="Tahoma"/>
            <family val="2"/>
          </rPr>
          <t>Optumas:</t>
        </r>
        <r>
          <rPr>
            <sz val="9"/>
            <color indexed="81"/>
            <rFont val="Tahoma"/>
            <family val="2"/>
          </rPr>
          <t xml:space="preserve">
0.5% used for illustrative purposes
This reflects allowance for 
Federal, State, and local taxes and licensing and regulatory fees as defined under 42 CFR 438.8(f)(3)</t>
        </r>
      </text>
    </comment>
    <comment ref="L9" authorId="0" shapeId="0" xr:uid="{8FEE6720-0F04-4A2F-84E6-AAAA3FF478CE}">
      <text>
        <r>
          <rPr>
            <b/>
            <sz val="9"/>
            <color indexed="81"/>
            <rFont val="Tahoma"/>
            <family val="2"/>
          </rPr>
          <t>Optumas:</t>
        </r>
        <r>
          <rPr>
            <sz val="9"/>
            <color indexed="81"/>
            <rFont val="Tahoma"/>
            <family val="2"/>
          </rPr>
          <t xml:space="preserve">
0.5% used for illustrative purposes
This reflects allowance for 
Federal, State, and local taxes and licensing and regulatory fees as defined under 42 CFR 438.8(f)(3)</t>
        </r>
      </text>
    </comment>
    <comment ref="D11" authorId="0" shapeId="0" xr:uid="{9985534F-B77E-4783-AFD2-B4E054122146}">
      <text>
        <r>
          <rPr>
            <b/>
            <sz val="9"/>
            <color indexed="81"/>
            <rFont val="Tahoma"/>
            <family val="2"/>
          </rPr>
          <t>Optumas:</t>
        </r>
        <r>
          <rPr>
            <sz val="9"/>
            <color indexed="81"/>
            <rFont val="Tahoma"/>
            <family val="2"/>
          </rPr>
          <t xml:space="preserve">
90% earnback used purely for illustrative purposes to show interaction between withhold and revenue used in risk corridor/mmlr calculations</t>
        </r>
      </text>
    </comment>
    <comment ref="H11" authorId="0" shapeId="0" xr:uid="{9F9488C3-B0CF-4974-A3AC-EFF7C1DBFA87}">
      <text>
        <r>
          <rPr>
            <b/>
            <sz val="9"/>
            <color indexed="81"/>
            <rFont val="Tahoma"/>
            <family val="2"/>
          </rPr>
          <t>Optumas:</t>
        </r>
        <r>
          <rPr>
            <sz val="9"/>
            <color indexed="81"/>
            <rFont val="Tahoma"/>
            <family val="2"/>
          </rPr>
          <t xml:space="preserve">
90% earnback used purely for illustrative purposes to show interaction between withhold and revenue used in risk corridor/mmlr calculations</t>
        </r>
      </text>
    </comment>
    <comment ref="L11" authorId="0" shapeId="0" xr:uid="{64F361E4-FDCD-4433-A459-5CD2A5B658FB}">
      <text>
        <r>
          <rPr>
            <b/>
            <sz val="9"/>
            <color indexed="81"/>
            <rFont val="Tahoma"/>
            <family val="2"/>
          </rPr>
          <t>Optumas:</t>
        </r>
        <r>
          <rPr>
            <sz val="9"/>
            <color indexed="81"/>
            <rFont val="Tahoma"/>
            <family val="2"/>
          </rPr>
          <t xml:space="preserve">
90% earnback used purely for illustrative purposes to show interaction between withhold and revenue used in risk corridor/mmlr calculations</t>
        </r>
      </text>
    </comment>
  </commentList>
</comments>
</file>

<file path=xl/sharedStrings.xml><?xml version="1.0" encoding="utf-8"?>
<sst xmlns="http://schemas.openxmlformats.org/spreadsheetml/2006/main" count="473" uniqueCount="149">
  <si>
    <t>High Cost Rx Pool - Risk Corridor Examples</t>
  </si>
  <si>
    <t>Example 1 - State Pays Due to Risk Corridor</t>
  </si>
  <si>
    <t>Current Approach - Budget Neutral Pool</t>
  </si>
  <si>
    <t>Proposed Approach - Add Risk Corridor</t>
  </si>
  <si>
    <t>MCO</t>
  </si>
  <si>
    <t>High Cost Rx Rate Target Revenue</t>
  </si>
  <si>
    <t>Actual High Cost Rx Experience</t>
  </si>
  <si>
    <t>Gain (Loss) w/ No Mitigation</t>
  </si>
  <si>
    <t>Adj. HC Rx Revenue</t>
  </si>
  <si>
    <t>Gain (Loss) w/ BN Pool</t>
  </si>
  <si>
    <t>Gain (Loss) w/ Risk Corridor Addition</t>
  </si>
  <si>
    <t>MCO #1</t>
  </si>
  <si>
    <t>MCO #2</t>
  </si>
  <si>
    <t>MCO #3</t>
  </si>
  <si>
    <t>Total</t>
  </si>
  <si>
    <t>Risk Corridor Thresholds</t>
  </si>
  <si>
    <t>Target Pool $$:</t>
  </si>
  <si>
    <t>Experience $$:</t>
  </si>
  <si>
    <t>Experience %:</t>
  </si>
  <si>
    <t>Corridor Bands</t>
  </si>
  <si>
    <t>State/MCO Share</t>
  </si>
  <si>
    <t>Low</t>
  </si>
  <si>
    <t>High</t>
  </si>
  <si>
    <t>State/Fed Share</t>
  </si>
  <si>
    <t>MCO Share</t>
  </si>
  <si>
    <t>State/Fed Dollars Paid</t>
  </si>
  <si>
    <t>&lt;=85%</t>
  </si>
  <si>
    <t>&gt;=115%</t>
  </si>
  <si>
    <t>Example 2 - State Recoups Due to Risk Corridor (MCOs pay back)</t>
  </si>
  <si>
    <t>Example 3 - No Transfer Due to Risk Corridor (MCO Experience Higher than Target)</t>
  </si>
  <si>
    <t>Example 4 - No Transfer Due to Risk Corridor (MCO Experience Lower than Target)</t>
  </si>
  <si>
    <t>Disabled/ND Waiver</t>
  </si>
  <si>
    <t>Population</t>
  </si>
  <si>
    <t>Rate</t>
  </si>
  <si>
    <t>Underlying NML</t>
  </si>
  <si>
    <t>MLR Target - RC</t>
  </si>
  <si>
    <t>Hypothetical Mix</t>
  </si>
  <si>
    <t>Katie Beckett</t>
  </si>
  <si>
    <t>All Other</t>
  </si>
  <si>
    <t>Scen 1</t>
  </si>
  <si>
    <t>Scen 2</t>
  </si>
  <si>
    <t>Cap Rate</t>
  </si>
  <si>
    <t>Risk Corridor MLR Target</t>
  </si>
  <si>
    <t>Medical Exp. % of Target</t>
  </si>
  <si>
    <t>Actual Medical</t>
  </si>
  <si>
    <t>Actual MLR</t>
  </si>
  <si>
    <t>Risk Corridor : Min</t>
  </si>
  <si>
    <t>Risk Corridor : Max</t>
  </si>
  <si>
    <t>State Share</t>
  </si>
  <si>
    <t>Recoupment/
Payout</t>
  </si>
  <si>
    <t>Effective MLR:</t>
  </si>
  <si>
    <t>Effective Cap Rev:</t>
  </si>
  <si>
    <t>Admin</t>
  </si>
  <si>
    <t>P/R/C</t>
  </si>
  <si>
    <t>Percent of Target</t>
  </si>
  <si>
    <t>Medical Experience</t>
  </si>
  <si>
    <t>+/- Band</t>
  </si>
  <si>
    <t>Hypothetical Risk Corridor Scenarios - CY22 Expansion Rates</t>
  </si>
  <si>
    <t>Risk Corridor Scenarios - Non Expansion HIPP</t>
  </si>
  <si>
    <t>Heritage Health: All Populations Combined</t>
  </si>
  <si>
    <t>Line</t>
  </si>
  <si>
    <t>Earned Revenue</t>
  </si>
  <si>
    <t>A</t>
  </si>
  <si>
    <t>Capitation Payment (Includes UNMC Directed Payment and Gross Withhold)</t>
  </si>
  <si>
    <t>B</t>
  </si>
  <si>
    <t>Other Applicable Taxes (positive indicates positive tax liability)</t>
  </si>
  <si>
    <t>C</t>
  </si>
  <si>
    <t>Contractor Withhold (A * 1.5%)</t>
  </si>
  <si>
    <t>D</t>
  </si>
  <si>
    <t>Earned Withhold</t>
  </si>
  <si>
    <t>E</t>
  </si>
  <si>
    <t>Earned Revenue for MLR/Risk Corridor (A - B - C + D)</t>
  </si>
  <si>
    <t>Program-Wide Risk Corridor</t>
  </si>
  <si>
    <t>Earned Revenue (Net Capitation Payments less Other Applicable Taxes)</t>
  </si>
  <si>
    <t>F</t>
  </si>
  <si>
    <t>Non-Expansion High-Cost Drug (MCO)/State Payment</t>
  </si>
  <si>
    <t>G</t>
  </si>
  <si>
    <t>Expansion Risk Corridor (MCO)/State Payment</t>
  </si>
  <si>
    <t>H</t>
  </si>
  <si>
    <t>HIPP Risk Corridor (MCO)/State Payment</t>
  </si>
  <si>
    <t>I</t>
  </si>
  <si>
    <t>Earned Revenue for Program-Wide Risk Corridor (E + F + G + H)</t>
  </si>
  <si>
    <t>J</t>
  </si>
  <si>
    <t>Claims Incurred (Non-SubCap)</t>
  </si>
  <si>
    <t>K</t>
  </si>
  <si>
    <t>Actual SubCap Payments</t>
  </si>
  <si>
    <t>L</t>
  </si>
  <si>
    <t>Estimated IBNR (Non-SubCap)</t>
  </si>
  <si>
    <t>M</t>
  </si>
  <si>
    <t>Non-Claim Medical Payments (e.g. CAH settlements, etc.)</t>
  </si>
  <si>
    <t>N</t>
  </si>
  <si>
    <t>Reinsurance Premiums Less Recoveries</t>
  </si>
  <si>
    <t>O</t>
  </si>
  <si>
    <t>Less Related-Party Medical Margin</t>
  </si>
  <si>
    <t>P</t>
  </si>
  <si>
    <t>Total Medical Expenses (J + K + L + M + N + O)</t>
  </si>
  <si>
    <t>Q</t>
  </si>
  <si>
    <t>Total Administration (QI and non-QI)</t>
  </si>
  <si>
    <t>R</t>
  </si>
  <si>
    <t>S</t>
  </si>
  <si>
    <t>Total Risk Corridor Expense (P + R)</t>
  </si>
  <si>
    <t>T</t>
  </si>
  <si>
    <t>Profit/(Loss) (I - S)</t>
  </si>
  <si>
    <t>U</t>
  </si>
  <si>
    <t>V</t>
  </si>
  <si>
    <t>Adjusted Earned Revenue (I + U)</t>
  </si>
  <si>
    <t>W</t>
  </si>
  <si>
    <t>Adjusted Profit/(Loss) (T + U)</t>
  </si>
  <si>
    <t>X</t>
  </si>
  <si>
    <t>Adjusted Profit/(Loss) Percent (W / V)</t>
  </si>
  <si>
    <t>Program-Wide MLR</t>
  </si>
  <si>
    <t>Risk Corridor (MCO)/State Share</t>
  </si>
  <si>
    <t>Earned Revenue for MLR (I + U)</t>
  </si>
  <si>
    <t>Y</t>
  </si>
  <si>
    <t>Claims Incurred (SubCap)</t>
  </si>
  <si>
    <t>Z</t>
  </si>
  <si>
    <t>Estimated IBNR (SubCap)</t>
  </si>
  <si>
    <t>AA</t>
  </si>
  <si>
    <t>Activities that Improve Health Care Quality</t>
  </si>
  <si>
    <t>AB</t>
  </si>
  <si>
    <t>AC</t>
  </si>
  <si>
    <t>AD</t>
  </si>
  <si>
    <t>Minimum MLR %</t>
  </si>
  <si>
    <t>AE</t>
  </si>
  <si>
    <t>AF</t>
  </si>
  <si>
    <t>Else, 0</t>
  </si>
  <si>
    <t>Else, if T / I &lt; -2.5%, then (S / 1.025) - I</t>
  </si>
  <si>
    <r>
      <t>Risk Corridor (MCO)/State Share</t>
    </r>
    <r>
      <rPr>
        <b/>
        <vertAlign val="superscript"/>
        <sz val="10"/>
        <color theme="1"/>
        <rFont val="Calibri"/>
        <family val="2"/>
        <scheme val="minor"/>
      </rPr>
      <t>1</t>
    </r>
  </si>
  <si>
    <r>
      <rPr>
        <vertAlign val="superscript"/>
        <sz val="10"/>
        <color theme="1"/>
        <rFont val="Calibri"/>
        <family val="2"/>
        <scheme val="minor"/>
      </rPr>
      <t>1</t>
    </r>
    <r>
      <rPr>
        <sz val="10"/>
        <color theme="1"/>
        <rFont val="Calibri"/>
        <family val="2"/>
        <scheme val="minor"/>
      </rPr>
      <t>Risk Corridor Profit/(Loss) Share formula:</t>
    </r>
  </si>
  <si>
    <t>Scenario 1 - Overall Profit within Corridor Bands</t>
  </si>
  <si>
    <t>Total Allowed Administration (min(Q, 12% * A))</t>
  </si>
  <si>
    <t>Net Qualified Medical Expenses divided by Earned Revenue (AB / V)</t>
  </si>
  <si>
    <t>Percentage below MLR (max(0, AD - AC)</t>
  </si>
  <si>
    <t>Total Medical Expenses (Net Qualified Medical Expenses) 
(J + Y + L + Z + M + N + AA + O)</t>
  </si>
  <si>
    <t>(MCO)/State MLR Payment (-max(0, V - (AB / AD)))</t>
  </si>
  <si>
    <t>Scenario 2 - Overall Profit Above Corridor Bands</t>
  </si>
  <si>
    <t>Scenario 3 - Overall Profit Below Corridor Bands</t>
  </si>
  <si>
    <t>Hypothetical Risk Corridor and Minimum MLR Calculations</t>
  </si>
  <si>
    <t>High Cost Drug Risk Corridor</t>
  </si>
  <si>
    <t>HIPP Risk Corridor Summary</t>
  </si>
  <si>
    <t>PW RC and MLR Calc Examples</t>
  </si>
  <si>
    <t>Tab Name</t>
  </si>
  <si>
    <t>Contents</t>
  </si>
  <si>
    <t>This tab provides example scenarios of potential payout/recoupments under the high-cost drug pool/risk corridor</t>
  </si>
  <si>
    <t>Expansion Risk Corridor</t>
  </si>
  <si>
    <t>This tab provides example scenarios of potential payout/recoupments under the Medicaid Expansion population risk corridor</t>
  </si>
  <si>
    <t>This tab provides example scenarios of potential payout/recoupments under the non-Expansion HIPP risk corridor</t>
  </si>
  <si>
    <t>This tab provides example scenarios of overall program-wide risk corridor and minimum MLR calculations, including the interaction of any payout/recoupments under either of the other risk mitigation strategies (high-cost drug pool/risk corridor, Expansion risk corridor, HIPP risk corridor)</t>
  </si>
  <si>
    <t>If T / I &gt; 2.5%, then -1* (T - (2.5% * I)) / .975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</si>
</sst>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000_);_(* \(#,##0.000\);_(* &quot;-&quot;??_);_(@_)"/>
    <numFmt numFmtId="166" formatCode="0.0%"/>
    <numFmt numFmtId="167" formatCode="0.0000%"/>
  </numFmts>
  <fonts count="2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i/>
      <sz val="10"/>
      <color theme="1"/>
      <name val="Calibri"/>
      <family val="2"/>
      <scheme val="minor"/>
    </font>
    <font>
      <b/>
      <u/>
      <sz val="12"/>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10"/>
      <color rgb="FFFF0000"/>
      <name val="Calibri"/>
      <family val="2"/>
      <scheme val="minor"/>
    </font>
    <font>
      <b/>
      <sz val="10"/>
      <name val="Calibri"/>
      <family val="2"/>
      <scheme val="minor"/>
    </font>
    <font>
      <b/>
      <u/>
      <sz val="12"/>
      <name val="Calibri"/>
      <family val="2"/>
      <scheme val="minor"/>
    </font>
    <font>
      <sz val="10"/>
      <color rgb="FF0070C0"/>
      <name val="Calibri"/>
      <family val="2"/>
      <scheme val="minor"/>
    </font>
    <font>
      <b/>
      <sz val="9"/>
      <color indexed="81"/>
      <name val="Tahoma"/>
      <family val="2"/>
    </font>
    <font>
      <sz val="9"/>
      <color indexed="81"/>
      <name val="Tahoma"/>
      <family val="2"/>
    </font>
    <font>
      <b/>
      <sz val="10"/>
      <color rgb="FFFF0000"/>
      <name val="Calibri"/>
      <family val="2"/>
      <scheme val="minor"/>
    </font>
    <font>
      <b/>
      <sz val="11"/>
      <color theme="0"/>
      <name val="Calibri"/>
      <family val="2"/>
      <scheme val="minor"/>
    </font>
    <font>
      <b/>
      <sz val="10"/>
      <color theme="0"/>
      <name val="Calibri"/>
      <family val="2"/>
      <scheme val="minor"/>
    </font>
    <font>
      <sz val="10"/>
      <color rgb="FF7030A0"/>
      <name val="Calibri"/>
      <family val="2"/>
      <scheme val="minor"/>
    </font>
    <font>
      <b/>
      <vertAlign val="superscript"/>
      <sz val="10"/>
      <color theme="1"/>
      <name val="Calibri"/>
      <family val="2"/>
      <scheme val="minor"/>
    </font>
    <font>
      <vertAlign val="superscript"/>
      <sz val="10"/>
      <color theme="1"/>
      <name val="Calibri"/>
      <family val="2"/>
      <scheme val="minor"/>
    </font>
    <font>
      <b/>
      <u/>
      <sz val="10"/>
      <color theme="1"/>
      <name val="Calibri"/>
      <family val="2"/>
      <scheme val="minor"/>
    </font>
  </fonts>
  <fills count="10">
    <fill>
      <patternFill patternType="none"/>
    </fill>
    <fill>
      <patternFill patternType="gray125"/>
    </fill>
    <fill>
      <patternFill patternType="solid">
        <fgColor theme="5" tint="0.399975585192419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39997558519241921"/>
        <bgColor indexed="64"/>
      </patternFill>
    </fill>
  </fills>
  <borders count="2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Dashed">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style="mediumDashed">
        <color indexed="64"/>
      </right>
      <top style="mediumDashed">
        <color indexed="64"/>
      </top>
      <bottom style="thin">
        <color indexed="64"/>
      </bottom>
      <diagonal/>
    </border>
    <border>
      <left style="mediumDashed">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0">
    <xf numFmtId="0" fontId="0" fillId="0" borderId="0" xfId="0"/>
    <xf numFmtId="0" fontId="3" fillId="0" borderId="0" xfId="0" applyFont="1"/>
    <xf numFmtId="0" fontId="3" fillId="0" borderId="1" xfId="0" applyFont="1" applyBorder="1" applyAlignment="1">
      <alignment horizontal="centerContinuous"/>
    </xf>
    <xf numFmtId="0" fontId="0" fillId="0" borderId="1" xfId="0" applyBorder="1" applyAlignment="1">
      <alignment horizontal="centerContinuous"/>
    </xf>
    <xf numFmtId="164" fontId="0" fillId="0" borderId="1" xfId="0" applyNumberFormat="1" applyBorder="1" applyAlignment="1">
      <alignment horizontal="centerContinuous"/>
    </xf>
    <xf numFmtId="0" fontId="3" fillId="2" borderId="2" xfId="0" applyFont="1" applyFill="1" applyBorder="1" applyAlignment="1">
      <alignment horizontal="centerContinuous"/>
    </xf>
    <xf numFmtId="0" fontId="3" fillId="2" borderId="3" xfId="0" applyFont="1" applyFill="1" applyBorder="1" applyAlignment="1">
      <alignment horizontal="centerContinuous"/>
    </xf>
    <xf numFmtId="0" fontId="3" fillId="3" borderId="4" xfId="0" applyFont="1" applyFill="1" applyBorder="1" applyAlignment="1">
      <alignment horizontal="center" vertical="center" wrapText="1"/>
    </xf>
    <xf numFmtId="0" fontId="0" fillId="0" borderId="4" xfId="0" applyBorder="1"/>
    <xf numFmtId="164" fontId="0" fillId="0" borderId="4" xfId="2" applyNumberFormat="1" applyFont="1" applyBorder="1"/>
    <xf numFmtId="164" fontId="2" fillId="0" borderId="4" xfId="2" applyNumberFormat="1" applyFont="1" applyBorder="1"/>
    <xf numFmtId="164" fontId="0" fillId="4" borderId="4" xfId="2" applyNumberFormat="1" applyFont="1" applyFill="1" applyBorder="1"/>
    <xf numFmtId="0" fontId="0" fillId="0" borderId="5" xfId="0" applyBorder="1"/>
    <xf numFmtId="164" fontId="0" fillId="0" borderId="5" xfId="2" applyNumberFormat="1" applyFont="1" applyBorder="1"/>
    <xf numFmtId="164" fontId="2" fillId="0" borderId="5" xfId="2" applyNumberFormat="1" applyFont="1" applyBorder="1"/>
    <xf numFmtId="164" fontId="0" fillId="4" borderId="5" xfId="2" applyNumberFormat="1" applyFont="1" applyFill="1" applyBorder="1"/>
    <xf numFmtId="0" fontId="3" fillId="0" borderId="6" xfId="0" applyFont="1" applyBorder="1"/>
    <xf numFmtId="164" fontId="3" fillId="0" borderId="6" xfId="0" applyNumberFormat="1" applyFont="1" applyBorder="1"/>
    <xf numFmtId="164" fontId="3" fillId="4" borderId="6" xfId="0" applyNumberFormat="1" applyFont="1" applyFill="1" applyBorder="1"/>
    <xf numFmtId="9" fontId="0" fillId="0" borderId="0" xfId="3" applyFont="1"/>
    <xf numFmtId="0" fontId="3" fillId="5" borderId="2" xfId="0" applyFont="1" applyFill="1" applyBorder="1"/>
    <xf numFmtId="164" fontId="3" fillId="5" borderId="3" xfId="2" applyNumberFormat="1" applyFont="1" applyFill="1" applyBorder="1"/>
    <xf numFmtId="9" fontId="3" fillId="5" borderId="3" xfId="3" applyFont="1" applyFill="1" applyBorder="1"/>
    <xf numFmtId="9" fontId="3" fillId="3" borderId="4" xfId="0" applyNumberFormat="1" applyFont="1" applyFill="1" applyBorder="1" applyAlignment="1">
      <alignment horizontal="center" vertical="center" wrapText="1"/>
    </xf>
    <xf numFmtId="9" fontId="0" fillId="0" borderId="4" xfId="0" applyNumberFormat="1" applyBorder="1" applyAlignment="1">
      <alignment horizontal="center"/>
    </xf>
    <xf numFmtId="9" fontId="4" fillId="0" borderId="4" xfId="0" applyNumberFormat="1" applyFont="1" applyBorder="1" applyAlignment="1">
      <alignment horizontal="center"/>
    </xf>
    <xf numFmtId="9" fontId="2" fillId="0" borderId="4" xfId="0" applyNumberFormat="1" applyFont="1" applyBorder="1"/>
    <xf numFmtId="9" fontId="0" fillId="0" borderId="4" xfId="0" applyNumberFormat="1" applyBorder="1"/>
    <xf numFmtId="9" fontId="2" fillId="0" borderId="4" xfId="0" applyNumberFormat="1" applyFont="1" applyBorder="1" applyAlignment="1">
      <alignment horizontal="center"/>
    </xf>
    <xf numFmtId="9" fontId="2" fillId="0" borderId="7" xfId="0" applyNumberFormat="1" applyFont="1" applyBorder="1" applyAlignment="1">
      <alignment horizontal="center"/>
    </xf>
    <xf numFmtId="9" fontId="4" fillId="0" borderId="7" xfId="0" applyNumberFormat="1" applyFont="1" applyBorder="1" applyAlignment="1">
      <alignment horizontal="center"/>
    </xf>
    <xf numFmtId="9" fontId="2" fillId="0" borderId="7" xfId="0" applyNumberFormat="1" applyFont="1" applyBorder="1"/>
    <xf numFmtId="9" fontId="0" fillId="0" borderId="7" xfId="0" applyNumberFormat="1" applyBorder="1"/>
    <xf numFmtId="164" fontId="0" fillId="0" borderId="7" xfId="2" applyNumberFormat="1" applyFont="1" applyBorder="1"/>
    <xf numFmtId="9" fontId="0" fillId="0" borderId="6" xfId="0" applyNumberFormat="1" applyBorder="1" applyAlignment="1">
      <alignment horizontal="center"/>
    </xf>
    <xf numFmtId="9" fontId="2" fillId="0" borderId="6" xfId="0" applyNumberFormat="1" applyFont="1" applyBorder="1" applyAlignment="1">
      <alignment horizontal="center"/>
    </xf>
    <xf numFmtId="9" fontId="2" fillId="0" borderId="6" xfId="0" applyNumberFormat="1" applyFont="1" applyBorder="1"/>
    <xf numFmtId="9" fontId="0" fillId="0" borderId="6" xfId="0" applyNumberFormat="1" applyBorder="1"/>
    <xf numFmtId="164" fontId="0" fillId="0" borderId="6" xfId="2" applyNumberFormat="1" applyFont="1" applyBorder="1"/>
    <xf numFmtId="0" fontId="5" fillId="0" borderId="0" xfId="0" applyFont="1"/>
    <xf numFmtId="0" fontId="6" fillId="0" borderId="0" xfId="0" applyFont="1"/>
    <xf numFmtId="0" fontId="7" fillId="0" borderId="0" xfId="0" applyFont="1"/>
    <xf numFmtId="0" fontId="9" fillId="5" borderId="9" xfId="0" applyFont="1" applyFill="1" applyBorder="1"/>
    <xf numFmtId="0" fontId="11" fillId="6" borderId="4" xfId="0" applyFont="1" applyFill="1" applyBorder="1" applyAlignment="1">
      <alignment horizontal="center" vertical="center" wrapText="1"/>
    </xf>
    <xf numFmtId="166" fontId="9" fillId="5" borderId="9" xfId="3" applyNumberFormat="1" applyFont="1" applyFill="1" applyBorder="1"/>
    <xf numFmtId="10" fontId="7" fillId="0" borderId="0" xfId="0" applyNumberFormat="1" applyFont="1"/>
    <xf numFmtId="0" fontId="9" fillId="5" borderId="6" xfId="0" applyFont="1" applyFill="1" applyBorder="1"/>
    <xf numFmtId="166" fontId="9" fillId="5" borderId="6" xfId="3" applyNumberFormat="1" applyFont="1" applyFill="1" applyBorder="1"/>
    <xf numFmtId="0" fontId="8" fillId="0" borderId="4" xfId="0" applyFont="1" applyBorder="1"/>
    <xf numFmtId="0" fontId="9" fillId="0" borderId="0" xfId="0" applyFont="1"/>
    <xf numFmtId="0" fontId="12" fillId="0" borderId="0" xfId="0" applyFont="1"/>
    <xf numFmtId="44" fontId="9" fillId="5" borderId="9" xfId="0" applyNumberFormat="1" applyFont="1" applyFill="1" applyBorder="1"/>
    <xf numFmtId="10" fontId="9" fillId="5" borderId="9" xfId="3" applyNumberFormat="1" applyFont="1" applyFill="1" applyBorder="1"/>
    <xf numFmtId="44" fontId="9" fillId="5" borderId="6" xfId="0" applyNumberFormat="1" applyFont="1" applyFill="1" applyBorder="1"/>
    <xf numFmtId="10" fontId="9" fillId="5" borderId="6" xfId="3" applyNumberFormat="1" applyFont="1" applyFill="1" applyBorder="1"/>
    <xf numFmtId="10" fontId="9" fillId="0" borderId="0" xfId="3" applyNumberFormat="1" applyFont="1"/>
    <xf numFmtId="44" fontId="8" fillId="0" borderId="1" xfId="0" applyNumberFormat="1" applyFont="1" applyBorder="1" applyAlignment="1">
      <alignment horizontal="center"/>
    </xf>
    <xf numFmtId="0" fontId="8" fillId="0" borderId="0" xfId="0" applyFont="1"/>
    <xf numFmtId="44" fontId="7" fillId="0" borderId="0" xfId="2" applyFont="1" applyBorder="1" applyAlignment="1">
      <alignment horizontal="left" indent="1"/>
    </xf>
    <xf numFmtId="44" fontId="7" fillId="0" borderId="0" xfId="0" quotePrefix="1" applyNumberFormat="1" applyFont="1"/>
    <xf numFmtId="44" fontId="7" fillId="0" borderId="0" xfId="2" applyFont="1" applyAlignment="1">
      <alignment horizontal="left" indent="1"/>
    </xf>
    <xf numFmtId="0" fontId="8" fillId="0" borderId="1" xfId="0" applyFont="1" applyBorder="1"/>
    <xf numFmtId="10" fontId="9" fillId="0" borderId="1" xfId="3" applyNumberFormat="1" applyFont="1" applyFill="1" applyBorder="1"/>
    <xf numFmtId="44" fontId="7" fillId="0" borderId="0" xfId="0" applyNumberFormat="1" applyFont="1"/>
    <xf numFmtId="10" fontId="10" fillId="0" borderId="0" xfId="3" applyNumberFormat="1" applyFont="1" applyFill="1" applyBorder="1"/>
    <xf numFmtId="0" fontId="7" fillId="0" borderId="0" xfId="0" quotePrefix="1" applyFont="1"/>
    <xf numFmtId="10" fontId="11" fillId="4" borderId="0" xfId="3" applyNumberFormat="1" applyFont="1" applyFill="1"/>
    <xf numFmtId="166" fontId="7" fillId="0" borderId="0" xfId="0" applyNumberFormat="1" applyFont="1"/>
    <xf numFmtId="166" fontId="10" fillId="0" borderId="0" xfId="3" applyNumberFormat="1" applyFont="1"/>
    <xf numFmtId="166" fontId="9" fillId="0" borderId="4" xfId="3" applyNumberFormat="1" applyFont="1" applyBorder="1" applyAlignment="1">
      <alignment horizontal="center"/>
    </xf>
    <xf numFmtId="10" fontId="9" fillId="0" borderId="4" xfId="3" applyNumberFormat="1" applyFont="1" applyBorder="1" applyAlignment="1">
      <alignment horizontal="center"/>
    </xf>
    <xf numFmtId="9" fontId="10" fillId="0" borderId="4" xfId="3" applyFont="1" applyBorder="1"/>
    <xf numFmtId="9" fontId="7" fillId="0" borderId="4" xfId="3" applyFont="1" applyBorder="1"/>
    <xf numFmtId="44" fontId="7" fillId="0" borderId="4" xfId="2" applyFont="1" applyBorder="1"/>
    <xf numFmtId="10" fontId="7" fillId="0" borderId="10" xfId="3" applyNumberFormat="1" applyFont="1" applyBorder="1" applyAlignment="1">
      <alignment horizontal="center"/>
    </xf>
    <xf numFmtId="10" fontId="13" fillId="0" borderId="11" xfId="3" applyNumberFormat="1" applyFont="1" applyBorder="1" applyAlignment="1">
      <alignment horizontal="center"/>
    </xf>
    <xf numFmtId="9" fontId="10" fillId="0" borderId="11" xfId="3" applyFont="1" applyBorder="1"/>
    <xf numFmtId="9" fontId="7" fillId="0" borderId="11" xfId="3" applyFont="1" applyBorder="1"/>
    <xf numFmtId="44" fontId="7" fillId="7" borderId="12" xfId="2" applyFont="1" applyFill="1" applyBorder="1"/>
    <xf numFmtId="10" fontId="7" fillId="0" borderId="13" xfId="3" applyNumberFormat="1" applyFont="1" applyBorder="1" applyAlignment="1">
      <alignment horizontal="center"/>
    </xf>
    <xf numFmtId="10" fontId="9" fillId="0" borderId="7" xfId="3" applyNumberFormat="1" applyFont="1" applyBorder="1" applyAlignment="1">
      <alignment horizontal="center"/>
    </xf>
    <xf numFmtId="9" fontId="10" fillId="0" borderId="7" xfId="3" applyFont="1" applyBorder="1"/>
    <xf numFmtId="9" fontId="7" fillId="0" borderId="7" xfId="3" applyFont="1" applyBorder="1"/>
    <xf numFmtId="44" fontId="7" fillId="7" borderId="14" xfId="2" applyFont="1" applyFill="1" applyBorder="1"/>
    <xf numFmtId="10" fontId="7" fillId="0" borderId="4" xfId="3" applyNumberFormat="1" applyFont="1" applyBorder="1" applyAlignment="1">
      <alignment horizontal="center"/>
    </xf>
    <xf numFmtId="44" fontId="7" fillId="0" borderId="5" xfId="2" applyFont="1" applyBorder="1"/>
    <xf numFmtId="44" fontId="8" fillId="0" borderId="6" xfId="2" applyFont="1" applyBorder="1"/>
    <xf numFmtId="10" fontId="8" fillId="0" borderId="4" xfId="3" applyNumberFormat="1" applyFont="1" applyFill="1" applyBorder="1"/>
    <xf numFmtId="44" fontId="8" fillId="0" borderId="4" xfId="0" applyNumberFormat="1" applyFont="1" applyBorder="1"/>
    <xf numFmtId="0" fontId="8" fillId="2" borderId="4" xfId="0" applyFont="1" applyFill="1" applyBorder="1" applyAlignment="1">
      <alignment horizontal="center"/>
    </xf>
    <xf numFmtId="0" fontId="7" fillId="0" borderId="4" xfId="0" applyFont="1" applyBorder="1"/>
    <xf numFmtId="44" fontId="9" fillId="0" borderId="4" xfId="2" applyFont="1" applyBorder="1"/>
    <xf numFmtId="0" fontId="7" fillId="0" borderId="4" xfId="0" applyFont="1" applyBorder="1" applyAlignment="1">
      <alignment horizontal="left" indent="1"/>
    </xf>
    <xf numFmtId="10" fontId="9" fillId="0" borderId="4" xfId="0" applyNumberFormat="1" applyFont="1" applyBorder="1"/>
    <xf numFmtId="10" fontId="10" fillId="0" borderId="4" xfId="0" applyNumberFormat="1" applyFont="1" applyBorder="1"/>
    <xf numFmtId="0" fontId="8" fillId="0" borderId="4" xfId="0" quotePrefix="1" applyFont="1" applyBorder="1"/>
    <xf numFmtId="166" fontId="16" fillId="0" borderId="4" xfId="0" applyNumberFormat="1" applyFont="1" applyBorder="1"/>
    <xf numFmtId="0" fontId="5" fillId="0" borderId="0" xfId="0" applyFont="1" applyAlignment="1">
      <alignment horizontal="left"/>
    </xf>
    <xf numFmtId="165" fontId="7" fillId="0" borderId="0" xfId="1" applyNumberFormat="1" applyFont="1"/>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7" fillId="0" borderId="0" xfId="0" applyFont="1" applyAlignment="1">
      <alignment vertical="center"/>
    </xf>
    <xf numFmtId="167" fontId="7" fillId="0" borderId="0" xfId="0" applyNumberFormat="1" applyFont="1"/>
    <xf numFmtId="0" fontId="18" fillId="8" borderId="2" xfId="0" applyFont="1" applyFill="1" applyBorder="1" applyAlignment="1">
      <alignment horizontal="centerContinuous" vertical="center"/>
    </xf>
    <xf numFmtId="0" fontId="18" fillId="8" borderId="15" xfId="0" applyFont="1" applyFill="1" applyBorder="1" applyAlignment="1">
      <alignment horizontal="centerContinuous"/>
    </xf>
    <xf numFmtId="0" fontId="18" fillId="8" borderId="3" xfId="0" applyFont="1" applyFill="1" applyBorder="1" applyAlignment="1">
      <alignment horizontal="centerContinuous"/>
    </xf>
    <xf numFmtId="0" fontId="11" fillId="9" borderId="8" xfId="0" applyFont="1" applyFill="1" applyBorder="1" applyAlignment="1">
      <alignment horizontal="centerContinuous" vertical="center"/>
    </xf>
    <xf numFmtId="0" fontId="7" fillId="5" borderId="8" xfId="0" applyFont="1" applyFill="1" applyBorder="1"/>
    <xf numFmtId="164" fontId="9" fillId="5" borderId="16" xfId="2" applyNumberFormat="1" applyFont="1" applyFill="1" applyBorder="1"/>
    <xf numFmtId="0" fontId="7" fillId="5" borderId="9" xfId="0" applyFont="1" applyFill="1" applyBorder="1"/>
    <xf numFmtId="164" fontId="9" fillId="5" borderId="17" xfId="2" applyNumberFormat="1" applyFont="1" applyFill="1" applyBorder="1"/>
    <xf numFmtId="0" fontId="7" fillId="5" borderId="18" xfId="0" applyFont="1" applyFill="1" applyBorder="1"/>
    <xf numFmtId="164" fontId="9" fillId="5" borderId="19" xfId="2" applyNumberFormat="1" applyFont="1" applyFill="1" applyBorder="1"/>
    <xf numFmtId="0" fontId="7" fillId="5" borderId="6" xfId="0" applyFont="1" applyFill="1" applyBorder="1"/>
    <xf numFmtId="164" fontId="7" fillId="5" borderId="20" xfId="2" applyNumberFormat="1" applyFont="1" applyFill="1" applyBorder="1"/>
    <xf numFmtId="0" fontId="7" fillId="5" borderId="8" xfId="0" applyFont="1" applyFill="1" applyBorder="1" applyAlignment="1">
      <alignment horizontal="left" vertical="center" wrapText="1"/>
    </xf>
    <xf numFmtId="0" fontId="7" fillId="5" borderId="16" xfId="0" applyFont="1" applyFill="1" applyBorder="1" applyAlignment="1">
      <alignment horizontal="left" vertical="center" wrapText="1"/>
    </xf>
    <xf numFmtId="164" fontId="9" fillId="5" borderId="16" xfId="2" applyNumberFormat="1" applyFont="1" applyFill="1" applyBorder="1" applyAlignment="1">
      <alignment vertical="center"/>
    </xf>
    <xf numFmtId="0" fontId="7" fillId="5" borderId="9" xfId="0" applyFont="1" applyFill="1" applyBorder="1" applyAlignment="1">
      <alignment horizontal="left" vertical="center" wrapText="1"/>
    </xf>
    <xf numFmtId="0" fontId="7" fillId="5" borderId="17" xfId="0" applyFont="1" applyFill="1" applyBorder="1" applyAlignment="1">
      <alignment horizontal="left" vertical="center" wrapText="1"/>
    </xf>
    <xf numFmtId="164" fontId="19" fillId="5" borderId="17" xfId="2" applyNumberFormat="1" applyFont="1" applyFill="1" applyBorder="1" applyAlignment="1">
      <alignment vertical="center"/>
    </xf>
    <xf numFmtId="164" fontId="9" fillId="5" borderId="17" xfId="2" applyNumberFormat="1" applyFont="1" applyFill="1" applyBorder="1" applyAlignment="1">
      <alignment vertical="center"/>
    </xf>
    <xf numFmtId="164" fontId="7" fillId="5" borderId="17" xfId="2" applyNumberFormat="1" applyFont="1" applyFill="1" applyBorder="1" applyAlignment="1">
      <alignment vertical="center"/>
    </xf>
    <xf numFmtId="0" fontId="7" fillId="5" borderId="18" xfId="0" applyFont="1" applyFill="1" applyBorder="1" applyAlignment="1">
      <alignment horizontal="left" vertical="center" wrapText="1"/>
    </xf>
    <xf numFmtId="0" fontId="7" fillId="5" borderId="19" xfId="0" applyFont="1" applyFill="1" applyBorder="1" applyAlignment="1">
      <alignment horizontal="left" vertical="center" wrapText="1"/>
    </xf>
    <xf numFmtId="164" fontId="9" fillId="5" borderId="19" xfId="2" applyNumberFormat="1" applyFont="1" applyFill="1" applyBorder="1" applyAlignment="1">
      <alignment vertical="center"/>
    </xf>
    <xf numFmtId="0" fontId="8" fillId="5" borderId="9" xfId="0" applyFont="1" applyFill="1" applyBorder="1" applyAlignment="1">
      <alignment horizontal="left" vertical="center" wrapText="1"/>
    </xf>
    <xf numFmtId="0" fontId="8" fillId="5" borderId="17" xfId="0" applyFont="1" applyFill="1" applyBorder="1" applyAlignment="1">
      <alignment horizontal="left" vertical="center" wrapText="1"/>
    </xf>
    <xf numFmtId="164" fontId="8" fillId="5" borderId="17" xfId="2" applyNumberFormat="1" applyFont="1" applyFill="1" applyBorder="1" applyAlignment="1">
      <alignment vertical="center"/>
    </xf>
    <xf numFmtId="0" fontId="8" fillId="5" borderId="6" xfId="0" applyFont="1" applyFill="1" applyBorder="1" applyAlignment="1">
      <alignment horizontal="left" vertical="center" wrapText="1"/>
    </xf>
    <xf numFmtId="0" fontId="8" fillId="5" borderId="20" xfId="0" applyFont="1" applyFill="1" applyBorder="1" applyAlignment="1">
      <alignment horizontal="left" vertical="center" wrapText="1"/>
    </xf>
    <xf numFmtId="10" fontId="8" fillId="5" borderId="20" xfId="3" applyNumberFormat="1" applyFont="1" applyFill="1" applyBorder="1" applyAlignment="1">
      <alignment vertical="center"/>
    </xf>
    <xf numFmtId="0" fontId="8" fillId="0" borderId="0" xfId="0" applyFont="1" applyAlignment="1">
      <alignment horizontal="left" vertical="center" wrapText="1"/>
    </xf>
    <xf numFmtId="10" fontId="8" fillId="0" borderId="0" xfId="3" applyNumberFormat="1" applyFont="1" applyFill="1" applyBorder="1" applyAlignment="1">
      <alignment vertical="center"/>
    </xf>
    <xf numFmtId="0" fontId="11" fillId="9" borderId="4" xfId="0" applyFont="1" applyFill="1" applyBorder="1" applyAlignment="1">
      <alignment horizontal="centerContinuous" vertical="center"/>
    </xf>
    <xf numFmtId="166" fontId="7" fillId="5" borderId="17" xfId="3" applyNumberFormat="1" applyFont="1" applyFill="1" applyBorder="1" applyAlignment="1">
      <alignment vertical="center"/>
    </xf>
    <xf numFmtId="166" fontId="10" fillId="5" borderId="17" xfId="0" applyNumberFormat="1" applyFont="1" applyFill="1" applyBorder="1" applyAlignment="1">
      <alignment vertical="center"/>
    </xf>
    <xf numFmtId="166" fontId="7" fillId="5" borderId="19" xfId="3" applyNumberFormat="1" applyFont="1" applyFill="1" applyBorder="1" applyAlignment="1">
      <alignment vertical="center"/>
    </xf>
    <xf numFmtId="164" fontId="8" fillId="5" borderId="20" xfId="0" applyNumberFormat="1" applyFont="1" applyFill="1" applyBorder="1" applyAlignment="1">
      <alignment vertical="center"/>
    </xf>
    <xf numFmtId="164" fontId="7" fillId="0" borderId="0" xfId="0" applyNumberFormat="1" applyFont="1"/>
    <xf numFmtId="44" fontId="7" fillId="0" borderId="0" xfId="2" applyFont="1"/>
    <xf numFmtId="0" fontId="7" fillId="0" borderId="0" xfId="0" applyFont="1" applyFill="1"/>
    <xf numFmtId="0" fontId="7" fillId="0" borderId="0" xfId="0" applyFont="1" applyFill="1" applyAlignment="1">
      <alignment horizontal="left" indent="1"/>
    </xf>
    <xf numFmtId="0" fontId="7" fillId="0" borderId="0" xfId="0" applyFont="1" applyFill="1" applyAlignment="1">
      <alignment horizontal="left" indent="2"/>
    </xf>
    <xf numFmtId="0" fontId="7" fillId="0" borderId="0" xfId="0" applyFont="1" applyFill="1" applyAlignment="1">
      <alignment horizontal="left" indent="3"/>
    </xf>
    <xf numFmtId="0" fontId="8" fillId="0" borderId="0" xfId="0" applyFont="1" applyAlignment="1">
      <alignment vertical="center"/>
    </xf>
    <xf numFmtId="0" fontId="22" fillId="0" borderId="0" xfId="0" applyFont="1"/>
    <xf numFmtId="0" fontId="0" fillId="0" borderId="4" xfId="0" applyBorder="1" applyAlignment="1">
      <alignment wrapText="1"/>
    </xf>
    <xf numFmtId="0" fontId="0" fillId="0" borderId="4" xfId="0" applyBorder="1" applyAlignment="1">
      <alignment vertical="center"/>
    </xf>
    <xf numFmtId="0" fontId="17" fillId="8" borderId="4"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A63DA-BA02-4582-8B79-A0D96166110F}">
  <sheetPr>
    <pageSetUpPr fitToPage="1"/>
  </sheetPr>
  <dimension ref="B2:C6"/>
  <sheetViews>
    <sheetView tabSelected="1" zoomScale="130" zoomScaleNormal="130" workbookViewId="0"/>
  </sheetViews>
  <sheetFormatPr defaultRowHeight="15" x14ac:dyDescent="0.25"/>
  <cols>
    <col min="2" max="2" width="28" bestFit="1" customWidth="1"/>
    <col min="3" max="3" width="74.140625" customWidth="1"/>
  </cols>
  <sheetData>
    <row r="2" spans="2:3" x14ac:dyDescent="0.25">
      <c r="B2" s="149" t="s">
        <v>141</v>
      </c>
      <c r="C2" s="149" t="s">
        <v>142</v>
      </c>
    </row>
    <row r="3" spans="2:3" ht="30" x14ac:dyDescent="0.25">
      <c r="B3" s="148" t="s">
        <v>138</v>
      </c>
      <c r="C3" s="147" t="s">
        <v>143</v>
      </c>
    </row>
    <row r="4" spans="2:3" ht="30" x14ac:dyDescent="0.25">
      <c r="B4" s="148" t="s">
        <v>144</v>
      </c>
      <c r="C4" s="147" t="s">
        <v>145</v>
      </c>
    </row>
    <row r="5" spans="2:3" ht="30" x14ac:dyDescent="0.25">
      <c r="B5" s="148" t="s">
        <v>139</v>
      </c>
      <c r="C5" s="147" t="s">
        <v>146</v>
      </c>
    </row>
    <row r="6" spans="2:3" ht="60" x14ac:dyDescent="0.25">
      <c r="B6" s="148" t="s">
        <v>140</v>
      </c>
      <c r="C6" s="147" t="s">
        <v>147</v>
      </c>
    </row>
  </sheetData>
  <pageMargins left="0.7" right="0.7" top="0.75" bottom="0.75" header="0.3" footer="0.3"/>
  <pageSetup scale="8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750CC-6194-4075-94C3-72025EA01C9A}">
  <dimension ref="B2:I116"/>
  <sheetViews>
    <sheetView zoomScaleNormal="100" workbookViewId="0"/>
  </sheetViews>
  <sheetFormatPr defaultRowHeight="15" x14ac:dyDescent="0.25"/>
  <cols>
    <col min="2" max="2" width="14.28515625" customWidth="1"/>
    <col min="3" max="5" width="17" customWidth="1"/>
    <col min="6" max="9" width="18.140625" customWidth="1"/>
  </cols>
  <sheetData>
    <row r="2" spans="2:9" x14ac:dyDescent="0.25">
      <c r="B2" s="1" t="s">
        <v>0</v>
      </c>
    </row>
    <row r="4" spans="2:9" x14ac:dyDescent="0.25">
      <c r="B4" s="2" t="s">
        <v>1</v>
      </c>
      <c r="C4" s="3"/>
      <c r="D4" s="4"/>
      <c r="E4" s="3"/>
      <c r="F4" s="3"/>
      <c r="G4" s="3"/>
      <c r="H4" s="3"/>
      <c r="I4" s="3"/>
    </row>
    <row r="6" spans="2:9" x14ac:dyDescent="0.25">
      <c r="F6" s="5" t="s">
        <v>2</v>
      </c>
      <c r="G6" s="6"/>
      <c r="H6" s="5" t="s">
        <v>3</v>
      </c>
      <c r="I6" s="6"/>
    </row>
    <row r="7" spans="2:9" ht="30" x14ac:dyDescent="0.25">
      <c r="B7" s="7" t="s">
        <v>4</v>
      </c>
      <c r="C7" s="7" t="s">
        <v>5</v>
      </c>
      <c r="D7" s="7" t="s">
        <v>6</v>
      </c>
      <c r="E7" s="7" t="s">
        <v>7</v>
      </c>
      <c r="F7" s="7" t="s">
        <v>8</v>
      </c>
      <c r="G7" s="7" t="s">
        <v>9</v>
      </c>
      <c r="H7" s="7" t="s">
        <v>8</v>
      </c>
      <c r="I7" s="7" t="s">
        <v>10</v>
      </c>
    </row>
    <row r="8" spans="2:9" x14ac:dyDescent="0.25">
      <c r="B8" s="8" t="s">
        <v>11</v>
      </c>
      <c r="C8" s="9">
        <v>10000000</v>
      </c>
      <c r="D8" s="10">
        <v>15000000</v>
      </c>
      <c r="E8" s="11">
        <v>-5000000</v>
      </c>
      <c r="F8" s="9">
        <v>11029411.764705881</v>
      </c>
      <c r="G8" s="11">
        <v>-3970588.2352941185</v>
      </c>
      <c r="H8" s="9">
        <v>14034926.470588235</v>
      </c>
      <c r="I8" s="11">
        <v>-965073.52941176482</v>
      </c>
    </row>
    <row r="9" spans="2:9" x14ac:dyDescent="0.25">
      <c r="B9" s="8" t="s">
        <v>12</v>
      </c>
      <c r="C9" s="9">
        <v>6000000</v>
      </c>
      <c r="D9" s="10">
        <v>10000000</v>
      </c>
      <c r="E9" s="11">
        <v>-4000000</v>
      </c>
      <c r="F9" s="9">
        <v>7352941.1764705889</v>
      </c>
      <c r="G9" s="11">
        <v>-2647058.8235294111</v>
      </c>
      <c r="H9" s="9">
        <v>9356617.6470588241</v>
      </c>
      <c r="I9" s="11">
        <v>-643382.35294117592</v>
      </c>
    </row>
    <row r="10" spans="2:9" ht="15.75" thickBot="1" x14ac:dyDescent="0.3">
      <c r="B10" s="12" t="s">
        <v>13</v>
      </c>
      <c r="C10" s="13">
        <v>9000000</v>
      </c>
      <c r="D10" s="14">
        <v>9000000</v>
      </c>
      <c r="E10" s="15">
        <v>0</v>
      </c>
      <c r="F10" s="13">
        <v>6617647.0588235296</v>
      </c>
      <c r="G10" s="15">
        <v>-2382352.9411764704</v>
      </c>
      <c r="H10" s="13">
        <v>8420955.8823529407</v>
      </c>
      <c r="I10" s="15">
        <v>-579044.11764705926</v>
      </c>
    </row>
    <row r="11" spans="2:9" ht="15.75" thickTop="1" x14ac:dyDescent="0.25">
      <c r="B11" s="16" t="s">
        <v>14</v>
      </c>
      <c r="C11" s="17">
        <v>25000000</v>
      </c>
      <c r="D11" s="17">
        <v>34000000</v>
      </c>
      <c r="E11" s="18">
        <v>-9000000</v>
      </c>
      <c r="F11" s="17">
        <v>25000000</v>
      </c>
      <c r="G11" s="18">
        <v>-9000000</v>
      </c>
      <c r="H11" s="17">
        <v>31812500</v>
      </c>
      <c r="I11" s="18">
        <v>-2187500</v>
      </c>
    </row>
    <row r="12" spans="2:9" x14ac:dyDescent="0.25">
      <c r="E12" s="19"/>
    </row>
    <row r="13" spans="2:9" x14ac:dyDescent="0.25">
      <c r="B13" s="1" t="s">
        <v>15</v>
      </c>
    </row>
    <row r="14" spans="2:9" x14ac:dyDescent="0.25">
      <c r="B14" s="1"/>
    </row>
    <row r="15" spans="2:9" x14ac:dyDescent="0.25">
      <c r="B15" s="20" t="s">
        <v>16</v>
      </c>
      <c r="C15" s="21">
        <v>25000000</v>
      </c>
    </row>
    <row r="16" spans="2:9" x14ac:dyDescent="0.25">
      <c r="B16" s="20" t="s">
        <v>17</v>
      </c>
      <c r="C16" s="21">
        <v>34000000</v>
      </c>
    </row>
    <row r="17" spans="2:7" x14ac:dyDescent="0.25">
      <c r="B17" s="20" t="s">
        <v>18</v>
      </c>
      <c r="C17" s="22">
        <v>1.36</v>
      </c>
    </row>
    <row r="19" spans="2:7" x14ac:dyDescent="0.25">
      <c r="B19" s="5" t="s">
        <v>19</v>
      </c>
      <c r="C19" s="6"/>
      <c r="D19" s="5" t="s">
        <v>20</v>
      </c>
      <c r="E19" s="6"/>
      <c r="F19" s="6"/>
    </row>
    <row r="20" spans="2:7" ht="30" x14ac:dyDescent="0.25">
      <c r="B20" s="23" t="s">
        <v>21</v>
      </c>
      <c r="C20" s="7" t="s">
        <v>22</v>
      </c>
      <c r="D20" s="7" t="s">
        <v>23</v>
      </c>
      <c r="E20" s="7" t="s">
        <v>24</v>
      </c>
      <c r="F20" s="7" t="s">
        <v>25</v>
      </c>
    </row>
    <row r="21" spans="2:7" x14ac:dyDescent="0.25">
      <c r="B21" s="24" t="s">
        <v>26</v>
      </c>
      <c r="C21" s="25">
        <v>0.85</v>
      </c>
      <c r="D21" s="26">
        <v>1</v>
      </c>
      <c r="E21" s="27">
        <v>0</v>
      </c>
      <c r="F21" s="9">
        <v>0</v>
      </c>
    </row>
    <row r="22" spans="2:7" x14ac:dyDescent="0.25">
      <c r="B22" s="28">
        <v>0.85</v>
      </c>
      <c r="C22" s="25">
        <v>0.9</v>
      </c>
      <c r="D22" s="26">
        <v>0.75</v>
      </c>
      <c r="E22" s="27">
        <v>0.25</v>
      </c>
      <c r="F22" s="9">
        <v>0</v>
      </c>
    </row>
    <row r="23" spans="2:7" x14ac:dyDescent="0.25">
      <c r="B23" s="28">
        <v>0.9</v>
      </c>
      <c r="C23" s="25">
        <v>0.95</v>
      </c>
      <c r="D23" s="26">
        <v>0.5</v>
      </c>
      <c r="E23" s="27">
        <v>0.5</v>
      </c>
      <c r="F23" s="9">
        <v>0</v>
      </c>
    </row>
    <row r="24" spans="2:7" ht="15.75" thickBot="1" x14ac:dyDescent="0.3">
      <c r="B24" s="29">
        <v>0.95</v>
      </c>
      <c r="C24" s="30">
        <v>1</v>
      </c>
      <c r="D24" s="31">
        <v>0</v>
      </c>
      <c r="E24" s="32">
        <v>1</v>
      </c>
      <c r="F24" s="33">
        <v>0</v>
      </c>
    </row>
    <row r="25" spans="2:7" x14ac:dyDescent="0.25">
      <c r="B25" s="34">
        <v>1</v>
      </c>
      <c r="C25" s="35">
        <v>1.05</v>
      </c>
      <c r="D25" s="36">
        <v>0</v>
      </c>
      <c r="E25" s="37">
        <v>1</v>
      </c>
      <c r="F25" s="38">
        <v>0</v>
      </c>
      <c r="G25" s="39"/>
    </row>
    <row r="26" spans="2:7" x14ac:dyDescent="0.25">
      <c r="B26" s="24">
        <v>1.05</v>
      </c>
      <c r="C26" s="28">
        <v>1.1000000000000001</v>
      </c>
      <c r="D26" s="26">
        <v>0.5</v>
      </c>
      <c r="E26" s="27">
        <v>0.5</v>
      </c>
      <c r="F26" s="9">
        <v>625000.00000000058</v>
      </c>
    </row>
    <row r="27" spans="2:7" x14ac:dyDescent="0.25">
      <c r="B27" s="24">
        <v>1.1000000000000001</v>
      </c>
      <c r="C27" s="28">
        <v>1.1499999999999999</v>
      </c>
      <c r="D27" s="26">
        <v>0.75</v>
      </c>
      <c r="E27" s="27">
        <v>0.25</v>
      </c>
      <c r="F27" s="9">
        <v>937499.99999999674</v>
      </c>
    </row>
    <row r="28" spans="2:7" ht="15.75" thickBot="1" x14ac:dyDescent="0.3">
      <c r="B28" s="24">
        <v>1.1499999999999999</v>
      </c>
      <c r="C28" s="24" t="s">
        <v>27</v>
      </c>
      <c r="D28" s="26">
        <v>1</v>
      </c>
      <c r="E28" s="27">
        <v>0</v>
      </c>
      <c r="F28" s="13">
        <v>5250000.0000000047</v>
      </c>
    </row>
    <row r="29" spans="2:7" ht="15.75" thickTop="1" x14ac:dyDescent="0.25">
      <c r="F29" s="17">
        <v>6812500.0000000019</v>
      </c>
    </row>
    <row r="33" spans="2:9" x14ac:dyDescent="0.25">
      <c r="B33" s="2" t="s">
        <v>28</v>
      </c>
      <c r="C33" s="3"/>
      <c r="D33" s="4"/>
      <c r="E33" s="3"/>
      <c r="F33" s="3"/>
      <c r="G33" s="3"/>
      <c r="H33" s="3"/>
      <c r="I33" s="3"/>
    </row>
    <row r="35" spans="2:9" x14ac:dyDescent="0.25">
      <c r="F35" s="5" t="s">
        <v>2</v>
      </c>
      <c r="G35" s="6"/>
      <c r="H35" s="5" t="s">
        <v>3</v>
      </c>
      <c r="I35" s="6"/>
    </row>
    <row r="36" spans="2:9" ht="30" x14ac:dyDescent="0.25">
      <c r="B36" s="7" t="s">
        <v>4</v>
      </c>
      <c r="C36" s="7" t="s">
        <v>5</v>
      </c>
      <c r="D36" s="7" t="s">
        <v>6</v>
      </c>
      <c r="E36" s="7" t="s">
        <v>7</v>
      </c>
      <c r="F36" s="7" t="s">
        <v>8</v>
      </c>
      <c r="G36" s="7" t="s">
        <v>9</v>
      </c>
      <c r="H36" s="7" t="s">
        <v>8</v>
      </c>
      <c r="I36" s="7" t="s">
        <v>10</v>
      </c>
    </row>
    <row r="37" spans="2:9" x14ac:dyDescent="0.25">
      <c r="B37" s="8" t="s">
        <v>11</v>
      </c>
      <c r="C37" s="9">
        <v>10000000</v>
      </c>
      <c r="D37" s="10">
        <v>8000000</v>
      </c>
      <c r="E37" s="11">
        <v>2000000</v>
      </c>
      <c r="F37" s="9">
        <v>9523809.5238095224</v>
      </c>
      <c r="G37" s="11">
        <v>1523809.5238095224</v>
      </c>
      <c r="H37" s="9">
        <v>8833333.3333333321</v>
      </c>
      <c r="I37" s="11">
        <v>833333.33333333209</v>
      </c>
    </row>
    <row r="38" spans="2:9" x14ac:dyDescent="0.25">
      <c r="B38" s="8" t="s">
        <v>12</v>
      </c>
      <c r="C38" s="9">
        <v>6000000</v>
      </c>
      <c r="D38" s="10">
        <v>6000000</v>
      </c>
      <c r="E38" s="11">
        <v>0</v>
      </c>
      <c r="F38" s="9">
        <v>7142857.1428571427</v>
      </c>
      <c r="G38" s="11">
        <v>1142857.1428571427</v>
      </c>
      <c r="H38" s="9">
        <v>6625000</v>
      </c>
      <c r="I38" s="11">
        <v>625000</v>
      </c>
    </row>
    <row r="39" spans="2:9" ht="15.75" thickBot="1" x14ac:dyDescent="0.3">
      <c r="B39" s="12" t="s">
        <v>13</v>
      </c>
      <c r="C39" s="13">
        <v>9000000</v>
      </c>
      <c r="D39" s="14">
        <v>7000000</v>
      </c>
      <c r="E39" s="15">
        <v>2000000</v>
      </c>
      <c r="F39" s="13">
        <v>8333333.333333333</v>
      </c>
      <c r="G39" s="15">
        <v>1333333.333333333</v>
      </c>
      <c r="H39" s="13">
        <v>7729166.666666666</v>
      </c>
      <c r="I39" s="15">
        <v>729166.66666666605</v>
      </c>
    </row>
    <row r="40" spans="2:9" ht="15.75" thickTop="1" x14ac:dyDescent="0.25">
      <c r="B40" s="16" t="s">
        <v>14</v>
      </c>
      <c r="C40" s="17">
        <v>25000000</v>
      </c>
      <c r="D40" s="17">
        <v>21000000</v>
      </c>
      <c r="E40" s="18">
        <v>4000000</v>
      </c>
      <c r="F40" s="17">
        <v>24999999.999999996</v>
      </c>
      <c r="G40" s="18">
        <v>3999999.9999999981</v>
      </c>
      <c r="H40" s="17">
        <v>23187500</v>
      </c>
      <c r="I40" s="18">
        <v>2187499.9999999981</v>
      </c>
    </row>
    <row r="41" spans="2:9" x14ac:dyDescent="0.25">
      <c r="E41" s="19"/>
    </row>
    <row r="42" spans="2:9" x14ac:dyDescent="0.25">
      <c r="B42" s="1" t="s">
        <v>15</v>
      </c>
    </row>
    <row r="43" spans="2:9" x14ac:dyDescent="0.25">
      <c r="B43" s="1"/>
    </row>
    <row r="44" spans="2:9" x14ac:dyDescent="0.25">
      <c r="B44" s="20" t="s">
        <v>16</v>
      </c>
      <c r="C44" s="21">
        <v>25000000</v>
      </c>
    </row>
    <row r="45" spans="2:9" x14ac:dyDescent="0.25">
      <c r="B45" s="20" t="s">
        <v>17</v>
      </c>
      <c r="C45" s="21">
        <v>21000000</v>
      </c>
    </row>
    <row r="46" spans="2:9" x14ac:dyDescent="0.25">
      <c r="B46" s="20" t="s">
        <v>18</v>
      </c>
      <c r="C46" s="22">
        <v>0.84</v>
      </c>
    </row>
    <row r="48" spans="2:9" x14ac:dyDescent="0.25">
      <c r="B48" s="5" t="s">
        <v>19</v>
      </c>
      <c r="C48" s="6"/>
      <c r="D48" s="5" t="s">
        <v>20</v>
      </c>
      <c r="E48" s="6"/>
      <c r="F48" s="6"/>
    </row>
    <row r="49" spans="2:9" ht="30" x14ac:dyDescent="0.25">
      <c r="B49" s="23" t="s">
        <v>21</v>
      </c>
      <c r="C49" s="7" t="s">
        <v>22</v>
      </c>
      <c r="D49" s="7" t="s">
        <v>23</v>
      </c>
      <c r="E49" s="7" t="s">
        <v>24</v>
      </c>
      <c r="F49" s="7" t="s">
        <v>25</v>
      </c>
    </row>
    <row r="50" spans="2:9" x14ac:dyDescent="0.25">
      <c r="B50" s="24" t="s">
        <v>26</v>
      </c>
      <c r="C50" s="25">
        <v>0.85</v>
      </c>
      <c r="D50" s="26">
        <v>1</v>
      </c>
      <c r="E50" s="27">
        <v>0</v>
      </c>
      <c r="F50" s="9">
        <v>-250000.00000000023</v>
      </c>
    </row>
    <row r="51" spans="2:9" x14ac:dyDescent="0.25">
      <c r="B51" s="28">
        <v>0.85</v>
      </c>
      <c r="C51" s="25">
        <v>0.9</v>
      </c>
      <c r="D51" s="26">
        <v>0.75</v>
      </c>
      <c r="E51" s="27">
        <v>0.25</v>
      </c>
      <c r="F51" s="9">
        <v>-937500.00000000093</v>
      </c>
    </row>
    <row r="52" spans="2:9" x14ac:dyDescent="0.25">
      <c r="B52" s="28">
        <v>0.9</v>
      </c>
      <c r="C52" s="25">
        <v>0.95</v>
      </c>
      <c r="D52" s="26">
        <v>0.5</v>
      </c>
      <c r="E52" s="27">
        <v>0.5</v>
      </c>
      <c r="F52" s="9">
        <v>-624999.99999999919</v>
      </c>
    </row>
    <row r="53" spans="2:9" ht="15.75" thickBot="1" x14ac:dyDescent="0.3">
      <c r="B53" s="29">
        <v>0.95</v>
      </c>
      <c r="C53" s="30">
        <v>1</v>
      </c>
      <c r="D53" s="31">
        <v>0</v>
      </c>
      <c r="E53" s="32">
        <v>1</v>
      </c>
      <c r="F53" s="33">
        <v>0</v>
      </c>
    </row>
    <row r="54" spans="2:9" x14ac:dyDescent="0.25">
      <c r="B54" s="24">
        <v>1</v>
      </c>
      <c r="C54" s="35">
        <v>1.05</v>
      </c>
      <c r="D54" s="26">
        <v>0</v>
      </c>
      <c r="E54" s="27">
        <v>1</v>
      </c>
      <c r="F54" s="9">
        <v>0</v>
      </c>
      <c r="G54" s="39"/>
    </row>
    <row r="55" spans="2:9" x14ac:dyDescent="0.25">
      <c r="B55" s="24">
        <v>1.05</v>
      </c>
      <c r="C55" s="28">
        <v>1.1000000000000001</v>
      </c>
      <c r="D55" s="26">
        <v>0.5</v>
      </c>
      <c r="E55" s="27">
        <v>0.5</v>
      </c>
      <c r="F55" s="9">
        <v>0</v>
      </c>
    </row>
    <row r="56" spans="2:9" x14ac:dyDescent="0.25">
      <c r="B56" s="24">
        <v>1.1000000000000001</v>
      </c>
      <c r="C56" s="28">
        <v>1.1499999999999999</v>
      </c>
      <c r="D56" s="26">
        <v>0.75</v>
      </c>
      <c r="E56" s="27">
        <v>0.25</v>
      </c>
      <c r="F56" s="9">
        <v>0</v>
      </c>
    </row>
    <row r="57" spans="2:9" ht="15.75" thickBot="1" x14ac:dyDescent="0.3">
      <c r="B57" s="24">
        <v>1.1499999999999999</v>
      </c>
      <c r="C57" s="24" t="s">
        <v>27</v>
      </c>
      <c r="D57" s="26">
        <v>1</v>
      </c>
      <c r="E57" s="27">
        <v>0</v>
      </c>
      <c r="F57" s="13">
        <v>0</v>
      </c>
    </row>
    <row r="58" spans="2:9" ht="15.75" thickTop="1" x14ac:dyDescent="0.25">
      <c r="F58" s="17">
        <v>-1812500.0000000005</v>
      </c>
    </row>
    <row r="62" spans="2:9" x14ac:dyDescent="0.25">
      <c r="B62" s="2" t="s">
        <v>29</v>
      </c>
      <c r="C62" s="3"/>
      <c r="D62" s="4"/>
      <c r="E62" s="3"/>
      <c r="F62" s="3"/>
      <c r="G62" s="3"/>
      <c r="H62" s="3"/>
      <c r="I62" s="3"/>
    </row>
    <row r="64" spans="2:9" x14ac:dyDescent="0.25">
      <c r="F64" s="5" t="s">
        <v>2</v>
      </c>
      <c r="G64" s="6"/>
      <c r="H64" s="5" t="s">
        <v>3</v>
      </c>
      <c r="I64" s="6"/>
    </row>
    <row r="65" spans="2:9" ht="30" x14ac:dyDescent="0.25">
      <c r="B65" s="7" t="s">
        <v>4</v>
      </c>
      <c r="C65" s="7" t="s">
        <v>5</v>
      </c>
      <c r="D65" s="7" t="s">
        <v>6</v>
      </c>
      <c r="E65" s="7" t="s">
        <v>7</v>
      </c>
      <c r="F65" s="7" t="s">
        <v>8</v>
      </c>
      <c r="G65" s="7" t="s">
        <v>9</v>
      </c>
      <c r="H65" s="7" t="s">
        <v>8</v>
      </c>
      <c r="I65" s="7" t="s">
        <v>10</v>
      </c>
    </row>
    <row r="66" spans="2:9" x14ac:dyDescent="0.25">
      <c r="B66" s="8" t="s">
        <v>11</v>
      </c>
      <c r="C66" s="9">
        <v>10000000</v>
      </c>
      <c r="D66" s="10">
        <v>10000000</v>
      </c>
      <c r="E66" s="11">
        <v>0</v>
      </c>
      <c r="F66" s="9">
        <v>9615384.615384616</v>
      </c>
      <c r="G66" s="11">
        <v>-384615.38461538404</v>
      </c>
      <c r="H66" s="9">
        <v>9615384.615384616</v>
      </c>
      <c r="I66" s="11">
        <v>-384615.38461538404</v>
      </c>
    </row>
    <row r="67" spans="2:9" x14ac:dyDescent="0.25">
      <c r="B67" s="8" t="s">
        <v>12</v>
      </c>
      <c r="C67" s="9">
        <v>6000000</v>
      </c>
      <c r="D67" s="10">
        <v>6500000</v>
      </c>
      <c r="E67" s="11">
        <v>-500000</v>
      </c>
      <c r="F67" s="9">
        <v>6250000</v>
      </c>
      <c r="G67" s="11">
        <v>-250000</v>
      </c>
      <c r="H67" s="9">
        <v>6250000</v>
      </c>
      <c r="I67" s="11">
        <v>-250000</v>
      </c>
    </row>
    <row r="68" spans="2:9" ht="15.75" thickBot="1" x14ac:dyDescent="0.3">
      <c r="B68" s="12" t="s">
        <v>13</v>
      </c>
      <c r="C68" s="13">
        <v>9000000</v>
      </c>
      <c r="D68" s="14">
        <v>9500000</v>
      </c>
      <c r="E68" s="15">
        <v>-500000</v>
      </c>
      <c r="F68" s="13">
        <v>9134615.384615384</v>
      </c>
      <c r="G68" s="15">
        <v>-365384.61538461596</v>
      </c>
      <c r="H68" s="13">
        <v>9134615.384615384</v>
      </c>
      <c r="I68" s="15">
        <v>-365384.61538461596</v>
      </c>
    </row>
    <row r="69" spans="2:9" ht="15.75" thickTop="1" x14ac:dyDescent="0.25">
      <c r="B69" s="16" t="s">
        <v>14</v>
      </c>
      <c r="C69" s="17">
        <v>25000000</v>
      </c>
      <c r="D69" s="17">
        <v>26000000</v>
      </c>
      <c r="E69" s="18">
        <v>-1000000</v>
      </c>
      <c r="F69" s="17">
        <v>25000000</v>
      </c>
      <c r="G69" s="18">
        <v>-1000000</v>
      </c>
      <c r="H69" s="17">
        <v>25000000</v>
      </c>
      <c r="I69" s="18">
        <v>-1000000</v>
      </c>
    </row>
    <row r="70" spans="2:9" x14ac:dyDescent="0.25">
      <c r="E70" s="19"/>
    </row>
    <row r="71" spans="2:9" x14ac:dyDescent="0.25">
      <c r="B71" s="1" t="s">
        <v>15</v>
      </c>
    </row>
    <row r="72" spans="2:9" x14ac:dyDescent="0.25">
      <c r="B72" s="1"/>
    </row>
    <row r="73" spans="2:9" x14ac:dyDescent="0.25">
      <c r="B73" s="20" t="s">
        <v>16</v>
      </c>
      <c r="C73" s="21">
        <v>25000000</v>
      </c>
    </row>
    <row r="74" spans="2:9" x14ac:dyDescent="0.25">
      <c r="B74" s="20" t="s">
        <v>17</v>
      </c>
      <c r="C74" s="21">
        <v>26000000</v>
      </c>
    </row>
    <row r="75" spans="2:9" x14ac:dyDescent="0.25">
      <c r="B75" s="20" t="s">
        <v>18</v>
      </c>
      <c r="C75" s="22">
        <v>1.04</v>
      </c>
    </row>
    <row r="77" spans="2:9" x14ac:dyDescent="0.25">
      <c r="B77" s="5" t="s">
        <v>19</v>
      </c>
      <c r="C77" s="6"/>
      <c r="D77" s="5" t="s">
        <v>20</v>
      </c>
      <c r="E77" s="6"/>
      <c r="F77" s="6"/>
    </row>
    <row r="78" spans="2:9" ht="30" x14ac:dyDescent="0.25">
      <c r="B78" s="23" t="s">
        <v>21</v>
      </c>
      <c r="C78" s="7" t="s">
        <v>22</v>
      </c>
      <c r="D78" s="7" t="s">
        <v>23</v>
      </c>
      <c r="E78" s="7" t="s">
        <v>24</v>
      </c>
      <c r="F78" s="7" t="s">
        <v>25</v>
      </c>
    </row>
    <row r="79" spans="2:9" x14ac:dyDescent="0.25">
      <c r="B79" s="24" t="s">
        <v>26</v>
      </c>
      <c r="C79" s="25">
        <v>0.85</v>
      </c>
      <c r="D79" s="26">
        <v>1</v>
      </c>
      <c r="E79" s="27">
        <v>0</v>
      </c>
      <c r="F79" s="9">
        <v>0</v>
      </c>
    </row>
    <row r="80" spans="2:9" x14ac:dyDescent="0.25">
      <c r="B80" s="28">
        <v>0.85</v>
      </c>
      <c r="C80" s="25">
        <v>0.9</v>
      </c>
      <c r="D80" s="26">
        <v>0.75</v>
      </c>
      <c r="E80" s="27">
        <v>0.25</v>
      </c>
      <c r="F80" s="9">
        <v>0</v>
      </c>
    </row>
    <row r="81" spans="2:9" x14ac:dyDescent="0.25">
      <c r="B81" s="28">
        <v>0.9</v>
      </c>
      <c r="C81" s="25">
        <v>0.95</v>
      </c>
      <c r="D81" s="26">
        <v>0.5</v>
      </c>
      <c r="E81" s="27">
        <v>0.5</v>
      </c>
      <c r="F81" s="9">
        <v>0</v>
      </c>
    </row>
    <row r="82" spans="2:9" ht="15.75" thickBot="1" x14ac:dyDescent="0.3">
      <c r="B82" s="29">
        <v>0.95</v>
      </c>
      <c r="C82" s="30">
        <v>1</v>
      </c>
      <c r="D82" s="31">
        <v>0</v>
      </c>
      <c r="E82" s="32">
        <v>1</v>
      </c>
      <c r="F82" s="33">
        <v>0</v>
      </c>
    </row>
    <row r="83" spans="2:9" x14ac:dyDescent="0.25">
      <c r="B83" s="24">
        <v>1</v>
      </c>
      <c r="C83" s="35">
        <v>1.05</v>
      </c>
      <c r="D83" s="26">
        <v>0</v>
      </c>
      <c r="E83" s="27">
        <v>1</v>
      </c>
      <c r="F83" s="9">
        <v>0</v>
      </c>
      <c r="G83" s="39"/>
    </row>
    <row r="84" spans="2:9" x14ac:dyDescent="0.25">
      <c r="B84" s="24">
        <v>1.05</v>
      </c>
      <c r="C84" s="28">
        <v>1.1000000000000001</v>
      </c>
      <c r="D84" s="26">
        <v>0.5</v>
      </c>
      <c r="E84" s="27">
        <v>0.5</v>
      </c>
      <c r="F84" s="9">
        <v>0</v>
      </c>
    </row>
    <row r="85" spans="2:9" x14ac:dyDescent="0.25">
      <c r="B85" s="24">
        <v>1.1000000000000001</v>
      </c>
      <c r="C85" s="28">
        <v>1.1499999999999999</v>
      </c>
      <c r="D85" s="26">
        <v>0.75</v>
      </c>
      <c r="E85" s="27">
        <v>0.25</v>
      </c>
      <c r="F85" s="9">
        <v>0</v>
      </c>
    </row>
    <row r="86" spans="2:9" ht="15.75" thickBot="1" x14ac:dyDescent="0.3">
      <c r="B86" s="24">
        <v>1.1499999999999999</v>
      </c>
      <c r="C86" s="24" t="s">
        <v>27</v>
      </c>
      <c r="D86" s="26">
        <v>1</v>
      </c>
      <c r="E86" s="27">
        <v>0</v>
      </c>
      <c r="F86" s="13">
        <v>0</v>
      </c>
    </row>
    <row r="87" spans="2:9" ht="15.75" thickTop="1" x14ac:dyDescent="0.25">
      <c r="F87" s="17">
        <v>0</v>
      </c>
    </row>
    <row r="91" spans="2:9" x14ac:dyDescent="0.25">
      <c r="B91" s="2" t="s">
        <v>30</v>
      </c>
      <c r="C91" s="3"/>
      <c r="D91" s="4"/>
      <c r="E91" s="3"/>
      <c r="F91" s="3"/>
      <c r="G91" s="3"/>
      <c r="H91" s="3"/>
      <c r="I91" s="3"/>
    </row>
    <row r="93" spans="2:9" x14ac:dyDescent="0.25">
      <c r="F93" s="5" t="s">
        <v>2</v>
      </c>
      <c r="G93" s="6"/>
      <c r="H93" s="5" t="s">
        <v>3</v>
      </c>
      <c r="I93" s="6"/>
    </row>
    <row r="94" spans="2:9" ht="30" x14ac:dyDescent="0.25">
      <c r="B94" s="7" t="s">
        <v>4</v>
      </c>
      <c r="C94" s="7" t="s">
        <v>5</v>
      </c>
      <c r="D94" s="7" t="s">
        <v>6</v>
      </c>
      <c r="E94" s="7" t="s">
        <v>7</v>
      </c>
      <c r="F94" s="7" t="s">
        <v>8</v>
      </c>
      <c r="G94" s="7" t="s">
        <v>9</v>
      </c>
      <c r="H94" s="7" t="s">
        <v>8</v>
      </c>
      <c r="I94" s="7" t="s">
        <v>10</v>
      </c>
    </row>
    <row r="95" spans="2:9" x14ac:dyDescent="0.25">
      <c r="B95" s="8" t="s">
        <v>11</v>
      </c>
      <c r="C95" s="9">
        <v>10000000</v>
      </c>
      <c r="D95" s="10">
        <v>9500000</v>
      </c>
      <c r="E95" s="11">
        <v>500000</v>
      </c>
      <c r="F95" s="9">
        <v>9895833.3333333321</v>
      </c>
      <c r="G95" s="11">
        <v>395833.33333333209</v>
      </c>
      <c r="H95" s="9">
        <v>9895833.3333333321</v>
      </c>
      <c r="I95" s="11">
        <v>395833.33333333209</v>
      </c>
    </row>
    <row r="96" spans="2:9" x14ac:dyDescent="0.25">
      <c r="B96" s="8" t="s">
        <v>12</v>
      </c>
      <c r="C96" s="9">
        <v>6000000</v>
      </c>
      <c r="D96" s="10">
        <v>6000000</v>
      </c>
      <c r="E96" s="11">
        <v>0</v>
      </c>
      <c r="F96" s="9">
        <v>6250000</v>
      </c>
      <c r="G96" s="11">
        <v>250000</v>
      </c>
      <c r="H96" s="9">
        <v>6250000</v>
      </c>
      <c r="I96" s="11">
        <v>250000</v>
      </c>
    </row>
    <row r="97" spans="2:9" ht="15.75" thickBot="1" x14ac:dyDescent="0.3">
      <c r="B97" s="12" t="s">
        <v>13</v>
      </c>
      <c r="C97" s="13">
        <v>9000000</v>
      </c>
      <c r="D97" s="14">
        <v>8500000</v>
      </c>
      <c r="E97" s="15">
        <v>500000</v>
      </c>
      <c r="F97" s="13">
        <v>8854166.6666666679</v>
      </c>
      <c r="G97" s="15">
        <v>354166.66666666791</v>
      </c>
      <c r="H97" s="13">
        <v>8854166.6666666679</v>
      </c>
      <c r="I97" s="15">
        <v>354166.66666666791</v>
      </c>
    </row>
    <row r="98" spans="2:9" ht="15.75" thickTop="1" x14ac:dyDescent="0.25">
      <c r="B98" s="16" t="s">
        <v>14</v>
      </c>
      <c r="C98" s="17">
        <v>25000000</v>
      </c>
      <c r="D98" s="17">
        <v>24000000</v>
      </c>
      <c r="E98" s="18">
        <v>1000000</v>
      </c>
      <c r="F98" s="17">
        <v>25000000</v>
      </c>
      <c r="G98" s="18">
        <v>1000000</v>
      </c>
      <c r="H98" s="17">
        <v>25000000</v>
      </c>
      <c r="I98" s="18">
        <v>1000000</v>
      </c>
    </row>
    <row r="99" spans="2:9" x14ac:dyDescent="0.25">
      <c r="E99" s="19"/>
    </row>
    <row r="100" spans="2:9" x14ac:dyDescent="0.25">
      <c r="B100" s="1" t="s">
        <v>15</v>
      </c>
    </row>
    <row r="101" spans="2:9" x14ac:dyDescent="0.25">
      <c r="B101" s="1"/>
    </row>
    <row r="102" spans="2:9" x14ac:dyDescent="0.25">
      <c r="B102" s="20" t="s">
        <v>16</v>
      </c>
      <c r="C102" s="21">
        <v>25000000</v>
      </c>
    </row>
    <row r="103" spans="2:9" x14ac:dyDescent="0.25">
      <c r="B103" s="20" t="s">
        <v>17</v>
      </c>
      <c r="C103" s="21">
        <v>24000000</v>
      </c>
    </row>
    <row r="104" spans="2:9" x14ac:dyDescent="0.25">
      <c r="B104" s="20" t="s">
        <v>18</v>
      </c>
      <c r="C104" s="22">
        <v>0.96</v>
      </c>
    </row>
    <row r="106" spans="2:9" x14ac:dyDescent="0.25">
      <c r="B106" s="5" t="s">
        <v>19</v>
      </c>
      <c r="C106" s="6"/>
      <c r="D106" s="5" t="s">
        <v>20</v>
      </c>
      <c r="E106" s="6"/>
      <c r="F106" s="6"/>
    </row>
    <row r="107" spans="2:9" ht="30" x14ac:dyDescent="0.25">
      <c r="B107" s="23" t="s">
        <v>21</v>
      </c>
      <c r="C107" s="7" t="s">
        <v>22</v>
      </c>
      <c r="D107" s="7" t="s">
        <v>23</v>
      </c>
      <c r="E107" s="7" t="s">
        <v>24</v>
      </c>
      <c r="F107" s="7" t="s">
        <v>25</v>
      </c>
    </row>
    <row r="108" spans="2:9" x14ac:dyDescent="0.25">
      <c r="B108" s="24" t="s">
        <v>26</v>
      </c>
      <c r="C108" s="25">
        <v>0.85</v>
      </c>
      <c r="D108" s="26">
        <v>1</v>
      </c>
      <c r="E108" s="27">
        <v>0</v>
      </c>
      <c r="F108" s="9">
        <v>0</v>
      </c>
    </row>
    <row r="109" spans="2:9" x14ac:dyDescent="0.25">
      <c r="B109" s="28">
        <v>0.85</v>
      </c>
      <c r="C109" s="25">
        <v>0.9</v>
      </c>
      <c r="D109" s="26">
        <v>0.75</v>
      </c>
      <c r="E109" s="27">
        <v>0.25</v>
      </c>
      <c r="F109" s="9">
        <v>0</v>
      </c>
    </row>
    <row r="110" spans="2:9" x14ac:dyDescent="0.25">
      <c r="B110" s="28">
        <v>0.9</v>
      </c>
      <c r="C110" s="25">
        <v>0.95</v>
      </c>
      <c r="D110" s="26">
        <v>0.5</v>
      </c>
      <c r="E110" s="27">
        <v>0.5</v>
      </c>
      <c r="F110" s="9">
        <v>0</v>
      </c>
    </row>
    <row r="111" spans="2:9" ht="15.75" thickBot="1" x14ac:dyDescent="0.3">
      <c r="B111" s="29">
        <v>0.95</v>
      </c>
      <c r="C111" s="30">
        <v>1</v>
      </c>
      <c r="D111" s="31">
        <v>0</v>
      </c>
      <c r="E111" s="32">
        <v>1</v>
      </c>
      <c r="F111" s="33">
        <v>0</v>
      </c>
    </row>
    <row r="112" spans="2:9" x14ac:dyDescent="0.25">
      <c r="B112" s="24">
        <v>1</v>
      </c>
      <c r="C112" s="35">
        <v>1.05</v>
      </c>
      <c r="D112" s="26">
        <v>0</v>
      </c>
      <c r="E112" s="27">
        <v>1</v>
      </c>
      <c r="F112" s="9">
        <v>0</v>
      </c>
      <c r="G112" s="39"/>
    </row>
    <row r="113" spans="2:6" x14ac:dyDescent="0.25">
      <c r="B113" s="24">
        <v>1.05</v>
      </c>
      <c r="C113" s="28">
        <v>1.1000000000000001</v>
      </c>
      <c r="D113" s="26">
        <v>0.5</v>
      </c>
      <c r="E113" s="27">
        <v>0.5</v>
      </c>
      <c r="F113" s="9">
        <v>0</v>
      </c>
    </row>
    <row r="114" spans="2:6" x14ac:dyDescent="0.25">
      <c r="B114" s="24">
        <v>1.1000000000000001</v>
      </c>
      <c r="C114" s="28">
        <v>1.1499999999999999</v>
      </c>
      <c r="D114" s="26">
        <v>0.75</v>
      </c>
      <c r="E114" s="27">
        <v>0.25</v>
      </c>
      <c r="F114" s="9">
        <v>0</v>
      </c>
    </row>
    <row r="115" spans="2:6" ht="15.75" thickBot="1" x14ac:dyDescent="0.3">
      <c r="B115" s="24">
        <v>1.1499999999999999</v>
      </c>
      <c r="C115" s="24" t="s">
        <v>27</v>
      </c>
      <c r="D115" s="26">
        <v>1</v>
      </c>
      <c r="E115" s="27">
        <v>0</v>
      </c>
      <c r="F115" s="13">
        <v>0</v>
      </c>
    </row>
    <row r="116" spans="2:6" ht="15.75" thickTop="1" x14ac:dyDescent="0.25">
      <c r="F116" s="17">
        <v>0</v>
      </c>
    </row>
  </sheetData>
  <pageMargins left="0.7" right="0.7" top="0.75" bottom="0.75" header="0.3" footer="0.3"/>
  <pageSetup scale="61" orientation="portrait" r:id="rId1"/>
  <rowBreaks count="1" manualBreakCount="1">
    <brk id="60"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0C6D3-0052-44FF-9A03-2D950D8D1581}">
  <dimension ref="B2:L41"/>
  <sheetViews>
    <sheetView zoomScaleNormal="100" zoomScaleSheetLayoutView="115" workbookViewId="0"/>
  </sheetViews>
  <sheetFormatPr defaultColWidth="9.140625" defaultRowHeight="12.75" x14ac:dyDescent="0.2"/>
  <cols>
    <col min="1" max="1" width="9.140625" style="41"/>
    <col min="2" max="2" width="22.85546875" style="41" customWidth="1"/>
    <col min="3" max="3" width="19.140625" style="41" customWidth="1"/>
    <col min="4" max="4" width="17.28515625" style="41" customWidth="1"/>
    <col min="5" max="5" width="15" style="41" customWidth="1"/>
    <col min="6" max="6" width="13.85546875" style="41" bestFit="1" customWidth="1"/>
    <col min="7" max="7" width="14.85546875" style="41" customWidth="1"/>
    <col min="8" max="8" width="15" style="41" customWidth="1"/>
    <col min="9" max="9" width="21.28515625" style="41" customWidth="1"/>
    <col min="10" max="10" width="19.140625" style="41" customWidth="1"/>
    <col min="11" max="11" width="15.5703125" style="41" customWidth="1"/>
    <col min="12" max="14" width="15" style="41" customWidth="1"/>
    <col min="15" max="15" width="15.5703125" style="41" customWidth="1"/>
    <col min="16" max="16" width="21.28515625" style="41" customWidth="1"/>
    <col min="17" max="17" width="19.140625" style="41" customWidth="1"/>
    <col min="18" max="18" width="15.5703125" style="41" customWidth="1"/>
    <col min="19" max="21" width="15" style="41" customWidth="1"/>
    <col min="22" max="16384" width="9.140625" style="41"/>
  </cols>
  <sheetData>
    <row r="2" spans="2:12" ht="15.75" x14ac:dyDescent="0.25">
      <c r="B2" s="40" t="s">
        <v>57</v>
      </c>
      <c r="L2" s="57"/>
    </row>
    <row r="3" spans="2:12" x14ac:dyDescent="0.2">
      <c r="B3" s="57"/>
    </row>
    <row r="4" spans="2:12" x14ac:dyDescent="0.2">
      <c r="C4" s="89" t="s">
        <v>39</v>
      </c>
      <c r="D4" s="89" t="s">
        <v>40</v>
      </c>
    </row>
    <row r="5" spans="2:12" x14ac:dyDescent="0.2">
      <c r="B5" s="90" t="s">
        <v>41</v>
      </c>
      <c r="C5" s="91">
        <v>970</v>
      </c>
      <c r="D5" s="91">
        <v>970</v>
      </c>
    </row>
    <row r="6" spans="2:12" x14ac:dyDescent="0.2">
      <c r="B6" s="92" t="s">
        <v>52</v>
      </c>
      <c r="C6" s="93">
        <v>0.10250000000000026</v>
      </c>
      <c r="D6" s="93">
        <v>0.10250000000000026</v>
      </c>
    </row>
    <row r="7" spans="2:12" x14ac:dyDescent="0.2">
      <c r="B7" s="92" t="s">
        <v>53</v>
      </c>
      <c r="C7" s="93">
        <v>0.02</v>
      </c>
      <c r="D7" s="93">
        <v>0.02</v>
      </c>
    </row>
    <row r="8" spans="2:12" x14ac:dyDescent="0.2">
      <c r="B8" s="90" t="s">
        <v>42</v>
      </c>
      <c r="C8" s="93">
        <f>1-C6</f>
        <v>0.89749999999999974</v>
      </c>
      <c r="D8" s="93">
        <f t="shared" ref="D8" si="0">1-D6</f>
        <v>0.89749999999999974</v>
      </c>
    </row>
    <row r="9" spans="2:12" x14ac:dyDescent="0.2">
      <c r="B9" s="90" t="s">
        <v>54</v>
      </c>
      <c r="C9" s="94">
        <v>0.9</v>
      </c>
      <c r="D9" s="94">
        <v>1.1000000000000001</v>
      </c>
    </row>
    <row r="10" spans="2:12" x14ac:dyDescent="0.2">
      <c r="B10" s="90" t="s">
        <v>55</v>
      </c>
      <c r="C10" s="73">
        <f>C8*C5*C9</f>
        <v>783.5174999999997</v>
      </c>
      <c r="D10" s="73">
        <f>D8*D5*D9</f>
        <v>957.63249999999971</v>
      </c>
    </row>
    <row r="11" spans="2:12" x14ac:dyDescent="0.2">
      <c r="B11" s="95" t="s">
        <v>56</v>
      </c>
      <c r="C11" s="96">
        <v>0.02</v>
      </c>
      <c r="D11" s="96">
        <v>0.02</v>
      </c>
    </row>
    <row r="12" spans="2:12" x14ac:dyDescent="0.2">
      <c r="B12" s="97"/>
    </row>
    <row r="13" spans="2:12" x14ac:dyDescent="0.2">
      <c r="C13" s="98"/>
      <c r="D13" s="98"/>
    </row>
    <row r="14" spans="2:12" x14ac:dyDescent="0.2">
      <c r="C14" s="56" t="s">
        <v>39</v>
      </c>
    </row>
    <row r="15" spans="2:12" x14ac:dyDescent="0.2">
      <c r="B15" s="57" t="s">
        <v>41</v>
      </c>
      <c r="C15" s="58">
        <f>C5</f>
        <v>970</v>
      </c>
      <c r="E15" s="59"/>
    </row>
    <row r="16" spans="2:12" x14ac:dyDescent="0.2">
      <c r="B16" s="61" t="s">
        <v>42</v>
      </c>
      <c r="C16" s="62">
        <f>C8</f>
        <v>0.89749999999999974</v>
      </c>
      <c r="D16" s="63"/>
      <c r="E16" s="59"/>
    </row>
    <row r="17" spans="2:8" x14ac:dyDescent="0.2">
      <c r="B17" s="57" t="s">
        <v>44</v>
      </c>
      <c r="C17" s="60">
        <f>C10</f>
        <v>783.5174999999997</v>
      </c>
      <c r="E17" s="65"/>
    </row>
    <row r="18" spans="2:8" x14ac:dyDescent="0.2">
      <c r="B18" s="57" t="s">
        <v>45</v>
      </c>
      <c r="C18" s="66">
        <f>C17/C15</f>
        <v>0.80774999999999975</v>
      </c>
      <c r="D18" s="67"/>
      <c r="E18" s="63"/>
      <c r="F18" s="68"/>
    </row>
    <row r="19" spans="2:8" x14ac:dyDescent="0.2">
      <c r="B19" s="57"/>
      <c r="C19" s="68"/>
    </row>
    <row r="20" spans="2:8" ht="25.5" x14ac:dyDescent="0.2">
      <c r="B20" s="99" t="s">
        <v>46</v>
      </c>
      <c r="C20" s="99" t="s">
        <v>47</v>
      </c>
      <c r="D20" s="99" t="s">
        <v>24</v>
      </c>
      <c r="E20" s="99" t="s">
        <v>48</v>
      </c>
      <c r="F20" s="100" t="s">
        <v>49</v>
      </c>
    </row>
    <row r="21" spans="2:8" ht="13.5" thickBot="1" x14ac:dyDescent="0.25">
      <c r="B21" s="69">
        <v>0</v>
      </c>
      <c r="C21" s="70">
        <f>B22</f>
        <v>0.87749999999999972</v>
      </c>
      <c r="D21" s="71">
        <v>0</v>
      </c>
      <c r="E21" s="72">
        <f>1-D21</f>
        <v>1</v>
      </c>
      <c r="F21" s="73">
        <f>IF($C$18&gt;=$C21,0,$C$17/$C21-$C$15)</f>
        <v>-77.102564102564202</v>
      </c>
      <c r="H21" s="63"/>
    </row>
    <row r="22" spans="2:8" x14ac:dyDescent="0.2">
      <c r="B22" s="74">
        <f>C22-C11</f>
        <v>0.87749999999999972</v>
      </c>
      <c r="C22" s="75">
        <f>C16</f>
        <v>0.89749999999999974</v>
      </c>
      <c r="D22" s="76">
        <v>1</v>
      </c>
      <c r="E22" s="77">
        <f>1-D22</f>
        <v>0</v>
      </c>
      <c r="F22" s="78"/>
    </row>
    <row r="23" spans="2:8" ht="13.5" thickBot="1" x14ac:dyDescent="0.25">
      <c r="B23" s="79">
        <f>C22</f>
        <v>0.89749999999999974</v>
      </c>
      <c r="C23" s="80">
        <f>B23+C11</f>
        <v>0.91749999999999976</v>
      </c>
      <c r="D23" s="81">
        <v>1</v>
      </c>
      <c r="E23" s="82">
        <f>1-D23</f>
        <v>0</v>
      </c>
      <c r="F23" s="83"/>
    </row>
    <row r="24" spans="2:8" ht="13.5" thickBot="1" x14ac:dyDescent="0.25">
      <c r="B24" s="84">
        <f>C23</f>
        <v>0.91749999999999976</v>
      </c>
      <c r="C24" s="69" t="str">
        <f>IF(C18&gt;B24,C18,"+")</f>
        <v>+</v>
      </c>
      <c r="D24" s="71">
        <v>0</v>
      </c>
      <c r="E24" s="72">
        <f>1-D24</f>
        <v>1</v>
      </c>
      <c r="F24" s="85">
        <f>IF($C$18&lt;=$B24,0,$C$17/$B24-$C$15)</f>
        <v>0</v>
      </c>
    </row>
    <row r="25" spans="2:8" ht="13.5" thickTop="1" x14ac:dyDescent="0.2">
      <c r="E25" s="48" t="s">
        <v>14</v>
      </c>
      <c r="F25" s="86">
        <f>SUM(F21:F24)</f>
        <v>-77.102564102564202</v>
      </c>
      <c r="G25" s="63"/>
    </row>
    <row r="26" spans="2:8" x14ac:dyDescent="0.2">
      <c r="E26" s="48" t="s">
        <v>50</v>
      </c>
      <c r="F26" s="87">
        <f>C17/(C15+F25)</f>
        <v>0.87749999999999972</v>
      </c>
    </row>
    <row r="27" spans="2:8" x14ac:dyDescent="0.2">
      <c r="E27" s="48" t="s">
        <v>51</v>
      </c>
      <c r="F27" s="88">
        <f>C15+F25</f>
        <v>892.8974358974358</v>
      </c>
    </row>
    <row r="28" spans="2:8" x14ac:dyDescent="0.2">
      <c r="C28" s="56" t="s">
        <v>40</v>
      </c>
    </row>
    <row r="29" spans="2:8" x14ac:dyDescent="0.2">
      <c r="B29" s="57" t="s">
        <v>41</v>
      </c>
      <c r="C29" s="60">
        <f>D5</f>
        <v>970</v>
      </c>
      <c r="E29" s="59"/>
    </row>
    <row r="30" spans="2:8" x14ac:dyDescent="0.2">
      <c r="B30" s="61" t="s">
        <v>42</v>
      </c>
      <c r="C30" s="62">
        <f>D8</f>
        <v>0.89749999999999974</v>
      </c>
      <c r="E30" s="59"/>
    </row>
    <row r="31" spans="2:8" x14ac:dyDescent="0.2">
      <c r="B31" s="57" t="s">
        <v>44</v>
      </c>
      <c r="C31" s="60">
        <f>D10</f>
        <v>957.63249999999971</v>
      </c>
      <c r="E31" s="65"/>
    </row>
    <row r="32" spans="2:8" x14ac:dyDescent="0.2">
      <c r="B32" s="57" t="s">
        <v>45</v>
      </c>
      <c r="C32" s="66">
        <f>C31/C29</f>
        <v>0.98724999999999974</v>
      </c>
    </row>
    <row r="33" spans="2:8" x14ac:dyDescent="0.2">
      <c r="B33" s="57"/>
      <c r="C33" s="68"/>
    </row>
    <row r="34" spans="2:8" ht="25.5" x14ac:dyDescent="0.2">
      <c r="B34" s="99" t="s">
        <v>46</v>
      </c>
      <c r="C34" s="99" t="s">
        <v>47</v>
      </c>
      <c r="D34" s="99" t="s">
        <v>24</v>
      </c>
      <c r="E34" s="99" t="s">
        <v>48</v>
      </c>
      <c r="F34" s="100" t="s">
        <v>49</v>
      </c>
      <c r="G34" s="101"/>
    </row>
    <row r="35" spans="2:8" ht="13.5" thickBot="1" x14ac:dyDescent="0.25">
      <c r="B35" s="69">
        <v>0</v>
      </c>
      <c r="C35" s="70">
        <f>B36</f>
        <v>0.87749999999999972</v>
      </c>
      <c r="D35" s="71">
        <v>0</v>
      </c>
      <c r="E35" s="72">
        <f>1-D35</f>
        <v>1</v>
      </c>
      <c r="F35" s="73">
        <f>IF($C$32&gt;=$C35,0,$C$31/$C35-$C$29)</f>
        <v>0</v>
      </c>
    </row>
    <row r="36" spans="2:8" x14ac:dyDescent="0.2">
      <c r="B36" s="74">
        <f>C36-D11</f>
        <v>0.87749999999999972</v>
      </c>
      <c r="C36" s="75">
        <f>C30</f>
        <v>0.89749999999999974</v>
      </c>
      <c r="D36" s="76">
        <v>1</v>
      </c>
      <c r="E36" s="77">
        <f>1-D36</f>
        <v>0</v>
      </c>
      <c r="F36" s="78"/>
      <c r="H36" s="45"/>
    </row>
    <row r="37" spans="2:8" ht="13.5" thickBot="1" x14ac:dyDescent="0.25">
      <c r="B37" s="79">
        <f>C36</f>
        <v>0.89749999999999974</v>
      </c>
      <c r="C37" s="80">
        <f>B37+D11</f>
        <v>0.91749999999999976</v>
      </c>
      <c r="D37" s="81">
        <v>1</v>
      </c>
      <c r="E37" s="82">
        <f>1-D37</f>
        <v>0</v>
      </c>
      <c r="F37" s="83"/>
      <c r="H37" s="102"/>
    </row>
    <row r="38" spans="2:8" ht="13.5" thickBot="1" x14ac:dyDescent="0.25">
      <c r="B38" s="84">
        <f>C37</f>
        <v>0.91749999999999976</v>
      </c>
      <c r="C38" s="70">
        <f>IF(C32&gt;B38,C32,"+")</f>
        <v>0.98724999999999974</v>
      </c>
      <c r="D38" s="71">
        <v>0</v>
      </c>
      <c r="E38" s="72">
        <f>1-D38</f>
        <v>1</v>
      </c>
      <c r="F38" s="85">
        <f>IF($C$32&lt;=$B38,0,$C$31/$B38-$C$29)</f>
        <v>73.741144414168957</v>
      </c>
    </row>
    <row r="39" spans="2:8" ht="13.5" thickTop="1" x14ac:dyDescent="0.2">
      <c r="E39" s="48" t="s">
        <v>14</v>
      </c>
      <c r="F39" s="86">
        <f>SUM(F35:F38)</f>
        <v>73.741144414168957</v>
      </c>
      <c r="G39" s="63"/>
    </row>
    <row r="40" spans="2:8" x14ac:dyDescent="0.2">
      <c r="E40" s="48" t="s">
        <v>50</v>
      </c>
      <c r="F40" s="87">
        <f>C31/(C29+F39)</f>
        <v>0.91749999999999965</v>
      </c>
    </row>
    <row r="41" spans="2:8" x14ac:dyDescent="0.2">
      <c r="E41" s="48" t="s">
        <v>51</v>
      </c>
      <c r="F41" s="88">
        <f>C29+F39</f>
        <v>1043.741144414169</v>
      </c>
    </row>
  </sheetData>
  <pageMargins left="0.7" right="0.7" top="0.75" bottom="0.75" header="0.3" footer="0.3"/>
  <pageSetup scale="54" orientation="portrait" horizontalDpi="4294967293" r:id="rId1"/>
  <headerFooter>
    <oddFooter>&amp;L&amp;F | &amp;A&amp;R&amp;G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6C6B9-3256-44B5-AC5F-1EF444899E47}">
  <sheetPr>
    <pageSetUpPr fitToPage="1"/>
  </sheetPr>
  <dimension ref="A1:N23"/>
  <sheetViews>
    <sheetView zoomScaleNormal="100" zoomScaleSheetLayoutView="80" zoomScalePageLayoutView="70" workbookViewId="0"/>
  </sheetViews>
  <sheetFormatPr defaultColWidth="9.140625" defaultRowHeight="12.75" x14ac:dyDescent="0.2"/>
  <cols>
    <col min="1" max="1" width="3.28515625" style="41" customWidth="1"/>
    <col min="2" max="2" width="20.28515625" style="41" customWidth="1"/>
    <col min="3" max="3" width="18.85546875" style="41" customWidth="1"/>
    <col min="4" max="4" width="13.42578125" style="41" customWidth="1"/>
    <col min="5" max="5" width="14.28515625" style="41" customWidth="1"/>
    <col min="6" max="7" width="13.42578125" style="41" customWidth="1"/>
    <col min="8" max="8" width="20.28515625" style="41" customWidth="1"/>
    <col min="9" max="9" width="18.85546875" style="41" customWidth="1"/>
    <col min="10" max="10" width="13.42578125" style="41" customWidth="1"/>
    <col min="11" max="11" width="14.28515625" style="41" customWidth="1"/>
    <col min="12" max="14" width="13.42578125" style="41" customWidth="1"/>
    <col min="15" max="16" width="9.7109375" style="41" customWidth="1"/>
    <col min="17" max="16384" width="9.140625" style="41"/>
  </cols>
  <sheetData>
    <row r="1" spans="1:14" x14ac:dyDescent="0.2">
      <c r="E1" s="49"/>
      <c r="F1" s="49"/>
      <c r="G1" s="49"/>
      <c r="M1" s="49"/>
    </row>
    <row r="2" spans="1:14" ht="15.75" x14ac:dyDescent="0.25">
      <c r="A2" s="49"/>
      <c r="B2" s="50" t="s">
        <v>58</v>
      </c>
      <c r="C2" s="49"/>
      <c r="D2" s="49"/>
      <c r="E2" s="49"/>
      <c r="F2" s="49"/>
      <c r="G2" s="49"/>
      <c r="M2" s="49"/>
    </row>
    <row r="3" spans="1:14" x14ac:dyDescent="0.2">
      <c r="A3" s="49"/>
      <c r="B3" s="49"/>
      <c r="C3" s="49"/>
      <c r="D3" s="49"/>
      <c r="E3" s="49"/>
      <c r="F3" s="49"/>
      <c r="G3" s="49"/>
      <c r="M3" s="49"/>
    </row>
    <row r="4" spans="1:14" ht="25.5" x14ac:dyDescent="0.2">
      <c r="A4" s="49"/>
      <c r="B4" s="43" t="s">
        <v>32</v>
      </c>
      <c r="C4" s="43" t="s">
        <v>33</v>
      </c>
      <c r="D4" s="43" t="s">
        <v>34</v>
      </c>
      <c r="E4" s="43" t="s">
        <v>35</v>
      </c>
      <c r="F4" s="43" t="s">
        <v>36</v>
      </c>
      <c r="G4" s="49"/>
      <c r="M4" s="49"/>
    </row>
    <row r="5" spans="1:14" x14ac:dyDescent="0.2">
      <c r="A5" s="49"/>
      <c r="B5" s="42" t="s">
        <v>31</v>
      </c>
      <c r="C5" s="51">
        <v>1293.7630027211055</v>
      </c>
      <c r="D5" s="52">
        <v>0.10249999999999999</v>
      </c>
      <c r="E5" s="52">
        <f t="shared" ref="E5:E7" si="0">1-D5+2%</f>
        <v>0.91749999999999998</v>
      </c>
      <c r="F5" s="44">
        <v>0.93260535744753459</v>
      </c>
      <c r="G5" s="49"/>
      <c r="M5" s="49"/>
    </row>
    <row r="6" spans="1:14" x14ac:dyDescent="0.2">
      <c r="A6" s="49"/>
      <c r="B6" s="42" t="s">
        <v>37</v>
      </c>
      <c r="C6" s="51">
        <v>10323.316267487635</v>
      </c>
      <c r="D6" s="52">
        <v>3.2500000000000001E-2</v>
      </c>
      <c r="E6" s="52">
        <f t="shared" si="0"/>
        <v>0.98750000000000004</v>
      </c>
      <c r="F6" s="44">
        <v>2.746971506568845E-2</v>
      </c>
      <c r="G6" s="49"/>
      <c r="M6" s="49"/>
    </row>
    <row r="7" spans="1:14" x14ac:dyDescent="0.2">
      <c r="A7" s="49"/>
      <c r="B7" s="46" t="s">
        <v>38</v>
      </c>
      <c r="C7" s="53">
        <v>416.33603453921097</v>
      </c>
      <c r="D7" s="54">
        <v>0.10249999999999999</v>
      </c>
      <c r="E7" s="54">
        <f t="shared" si="0"/>
        <v>0.91749999999999998</v>
      </c>
      <c r="F7" s="47">
        <v>3.9924927486777E-2</v>
      </c>
      <c r="G7" s="49"/>
      <c r="M7" s="49"/>
    </row>
    <row r="8" spans="1:14" x14ac:dyDescent="0.2">
      <c r="E8" s="55"/>
      <c r="M8" s="49"/>
    </row>
    <row r="9" spans="1:14" x14ac:dyDescent="0.2">
      <c r="C9" s="56" t="s">
        <v>39</v>
      </c>
      <c r="I9" s="56" t="s">
        <v>40</v>
      </c>
      <c r="M9" s="49"/>
    </row>
    <row r="10" spans="1:14" x14ac:dyDescent="0.2">
      <c r="B10" s="57" t="s">
        <v>41</v>
      </c>
      <c r="C10" s="58">
        <f>SUMPRODUCT(F5:F7,C5:C7)</f>
        <v>1506.7710499950942</v>
      </c>
      <c r="E10" s="59"/>
      <c r="H10" s="57" t="s">
        <v>41</v>
      </c>
      <c r="I10" s="60">
        <f>SUMPRODUCT(F5:F7,C5:C7)</f>
        <v>1506.7710499950942</v>
      </c>
      <c r="K10" s="59"/>
      <c r="M10" s="49"/>
    </row>
    <row r="11" spans="1:14" x14ac:dyDescent="0.2">
      <c r="B11" s="61" t="s">
        <v>42</v>
      </c>
      <c r="C11" s="62">
        <f>SUMPRODUCT(E5:E7,C5:C7,F5:F7)/SUMPRODUCT(C5:C7,F5:F7)</f>
        <v>0.9306741972001159</v>
      </c>
      <c r="D11" s="63"/>
      <c r="E11" s="59"/>
      <c r="H11" s="61" t="s">
        <v>42</v>
      </c>
      <c r="I11" s="62">
        <f>SUMPRODUCT(E5:E7,C5:C7,F5:F7)/SUMPRODUCT(C5:C7,F5:F7)</f>
        <v>0.9306741972001159</v>
      </c>
      <c r="K11" s="59"/>
      <c r="M11" s="49"/>
    </row>
    <row r="12" spans="1:14" x14ac:dyDescent="0.2">
      <c r="B12" s="57" t="s">
        <v>43</v>
      </c>
      <c r="C12" s="64">
        <v>0.9</v>
      </c>
      <c r="D12" s="63"/>
      <c r="E12" s="59"/>
      <c r="H12" s="57" t="s">
        <v>43</v>
      </c>
      <c r="I12" s="64">
        <v>1.1000000000000001</v>
      </c>
      <c r="K12" s="59"/>
      <c r="M12" s="49"/>
    </row>
    <row r="13" spans="1:14" x14ac:dyDescent="0.2">
      <c r="B13" s="57" t="s">
        <v>44</v>
      </c>
      <c r="C13" s="60">
        <f>C10*C11*C12</f>
        <v>1262.0816435867041</v>
      </c>
      <c r="E13" s="65"/>
      <c r="H13" s="57" t="s">
        <v>44</v>
      </c>
      <c r="I13" s="60">
        <f>I10*I11*I12</f>
        <v>1542.5442310504161</v>
      </c>
      <c r="K13" s="65"/>
      <c r="N13" s="49"/>
    </row>
    <row r="14" spans="1:14" x14ac:dyDescent="0.2">
      <c r="B14" s="57" t="s">
        <v>45</v>
      </c>
      <c r="C14" s="66">
        <f>C13/C10</f>
        <v>0.83760677748010437</v>
      </c>
      <c r="D14" s="67"/>
      <c r="E14" s="63"/>
      <c r="F14" s="68"/>
      <c r="H14" s="57" t="s">
        <v>45</v>
      </c>
      <c r="I14" s="66">
        <f>I13/I10</f>
        <v>1.0237416169201274</v>
      </c>
      <c r="N14" s="49"/>
    </row>
    <row r="15" spans="1:14" x14ac:dyDescent="0.2">
      <c r="B15" s="57"/>
      <c r="C15" s="68"/>
      <c r="H15" s="57"/>
      <c r="I15" s="68"/>
    </row>
    <row r="16" spans="1:14" ht="25.5" x14ac:dyDescent="0.2">
      <c r="B16" s="43" t="s">
        <v>46</v>
      </c>
      <c r="C16" s="43" t="s">
        <v>47</v>
      </c>
      <c r="D16" s="43" t="s">
        <v>24</v>
      </c>
      <c r="E16" s="43" t="s">
        <v>48</v>
      </c>
      <c r="F16" s="43" t="s">
        <v>49</v>
      </c>
      <c r="H16" s="43" t="s">
        <v>46</v>
      </c>
      <c r="I16" s="43" t="s">
        <v>47</v>
      </c>
      <c r="J16" s="43" t="s">
        <v>24</v>
      </c>
      <c r="K16" s="43" t="s">
        <v>48</v>
      </c>
      <c r="L16" s="43" t="s">
        <v>49</v>
      </c>
    </row>
    <row r="17" spans="2:12" ht="13.5" thickBot="1" x14ac:dyDescent="0.25">
      <c r="B17" s="69">
        <v>0</v>
      </c>
      <c r="C17" s="70">
        <f>B18</f>
        <v>0.91067419720011589</v>
      </c>
      <c r="D17" s="71">
        <v>0</v>
      </c>
      <c r="E17" s="72">
        <f>1-D17</f>
        <v>1</v>
      </c>
      <c r="F17" s="73">
        <f>IF($C$14&gt;=$C17,0,$C$13/$C17-$C$10)</f>
        <v>-120.89490738888367</v>
      </c>
      <c r="H17" s="69">
        <v>0</v>
      </c>
      <c r="I17" s="70">
        <f>H18</f>
        <v>0.91067419720011589</v>
      </c>
      <c r="J17" s="71">
        <v>0</v>
      </c>
      <c r="K17" s="72">
        <f>1-J17</f>
        <v>1</v>
      </c>
      <c r="L17" s="73">
        <f>IF($I$14&gt;=$I17,0,$I$13/$I17-$I$10)</f>
        <v>0</v>
      </c>
    </row>
    <row r="18" spans="2:12" x14ac:dyDescent="0.2">
      <c r="B18" s="74">
        <f>C18-2%</f>
        <v>0.91067419720011589</v>
      </c>
      <c r="C18" s="75">
        <f>C11</f>
        <v>0.9306741972001159</v>
      </c>
      <c r="D18" s="76">
        <v>1</v>
      </c>
      <c r="E18" s="77">
        <f>1-D18</f>
        <v>0</v>
      </c>
      <c r="F18" s="78"/>
      <c r="H18" s="74">
        <f>I18-2%</f>
        <v>0.91067419720011589</v>
      </c>
      <c r="I18" s="75">
        <f>I11</f>
        <v>0.9306741972001159</v>
      </c>
      <c r="J18" s="76">
        <v>1</v>
      </c>
      <c r="K18" s="77">
        <f>1-J18</f>
        <v>0</v>
      </c>
      <c r="L18" s="78"/>
    </row>
    <row r="19" spans="2:12" ht="13.5" thickBot="1" x14ac:dyDescent="0.25">
      <c r="B19" s="79">
        <f>C18</f>
        <v>0.9306741972001159</v>
      </c>
      <c r="C19" s="80">
        <f>B19+2%</f>
        <v>0.95067419720011592</v>
      </c>
      <c r="D19" s="81">
        <v>1</v>
      </c>
      <c r="E19" s="82">
        <f>1-D19</f>
        <v>0</v>
      </c>
      <c r="F19" s="83"/>
      <c r="H19" s="79">
        <f>I18</f>
        <v>0.9306741972001159</v>
      </c>
      <c r="I19" s="80">
        <f>H19+2%</f>
        <v>0.95067419720011592</v>
      </c>
      <c r="J19" s="81">
        <v>1</v>
      </c>
      <c r="K19" s="82">
        <f>1-J19</f>
        <v>0</v>
      </c>
      <c r="L19" s="83"/>
    </row>
    <row r="20" spans="2:12" ht="13.5" thickBot="1" x14ac:dyDescent="0.25">
      <c r="B20" s="84">
        <f>C19</f>
        <v>0.95067419720011592</v>
      </c>
      <c r="C20" s="69" t="str">
        <f>IF(C14&gt;B20,C14,"+")</f>
        <v>+</v>
      </c>
      <c r="D20" s="71">
        <v>0</v>
      </c>
      <c r="E20" s="72">
        <f>1-D20</f>
        <v>1</v>
      </c>
      <c r="F20" s="85">
        <f>IF($C$14&lt;=$B20,0,$C$13/$B20-$C$10)</f>
        <v>0</v>
      </c>
      <c r="H20" s="84">
        <f>I19</f>
        <v>0.95067419720011592</v>
      </c>
      <c r="I20" s="70">
        <f>IF(I14&gt;H20,I14,"+")</f>
        <v>1.0237416169201274</v>
      </c>
      <c r="J20" s="71">
        <v>0</v>
      </c>
      <c r="K20" s="72">
        <f>1-J20</f>
        <v>1</v>
      </c>
      <c r="L20" s="85">
        <f>IF($I$14&lt;=$H20,0,$I$13/$H20-$I$10)</f>
        <v>115.80820543589357</v>
      </c>
    </row>
    <row r="21" spans="2:12" ht="13.5" thickTop="1" x14ac:dyDescent="0.2">
      <c r="E21" s="48" t="s">
        <v>14</v>
      </c>
      <c r="F21" s="86">
        <f>SUM(F17:F20)</f>
        <v>-120.89490738888367</v>
      </c>
      <c r="K21" s="48" t="s">
        <v>14</v>
      </c>
      <c r="L21" s="86">
        <f>SUM(L17:L20)</f>
        <v>115.80820543589357</v>
      </c>
    </row>
    <row r="22" spans="2:12" x14ac:dyDescent="0.2">
      <c r="E22" s="48" t="s">
        <v>50</v>
      </c>
      <c r="F22" s="87">
        <f>C13/(C10+F21)</f>
        <v>0.91067419720011589</v>
      </c>
      <c r="K22" s="48" t="s">
        <v>50</v>
      </c>
      <c r="L22" s="87">
        <f>I13/(I10+L21)</f>
        <v>0.95067419720011592</v>
      </c>
    </row>
    <row r="23" spans="2:12" x14ac:dyDescent="0.2">
      <c r="E23" s="48" t="s">
        <v>51</v>
      </c>
      <c r="F23" s="88">
        <f>C10+F21</f>
        <v>1385.8761426062106</v>
      </c>
      <c r="K23" s="48" t="s">
        <v>51</v>
      </c>
      <c r="L23" s="88">
        <f>I10+L21</f>
        <v>1622.5792554309878</v>
      </c>
    </row>
  </sheetData>
  <pageMargins left="0.7" right="0.7" top="0.75" bottom="0.75" header="0.3" footer="0.3"/>
  <pageSetup scale="55" orientation="landscape"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646EB-EF4B-4D9B-8BC4-5C4A0D84AB0C}">
  <dimension ref="B2:L56"/>
  <sheetViews>
    <sheetView zoomScale="85" zoomScaleNormal="85" workbookViewId="0"/>
  </sheetViews>
  <sheetFormatPr defaultRowHeight="15" x14ac:dyDescent="0.25"/>
  <cols>
    <col min="2" max="2" width="5.42578125" style="41" customWidth="1"/>
    <col min="3" max="3" width="60.28515625" style="41" customWidth="1"/>
    <col min="4" max="4" width="20.85546875" style="41" customWidth="1"/>
    <col min="6" max="6" width="5.42578125" style="41" customWidth="1"/>
    <col min="7" max="7" width="60.28515625" style="41" customWidth="1"/>
    <col min="8" max="8" width="20.85546875" style="41" customWidth="1"/>
    <col min="10" max="10" width="5.42578125" style="41" customWidth="1"/>
    <col min="11" max="11" width="60.28515625" style="41" customWidth="1"/>
    <col min="12" max="12" width="20.85546875" style="41" customWidth="1"/>
  </cols>
  <sheetData>
    <row r="2" spans="2:12" x14ac:dyDescent="0.25">
      <c r="B2" s="146" t="s">
        <v>137</v>
      </c>
    </row>
    <row r="4" spans="2:12" x14ac:dyDescent="0.25">
      <c r="B4" s="145" t="s">
        <v>129</v>
      </c>
      <c r="F4" s="145" t="s">
        <v>135</v>
      </c>
      <c r="J4" s="145" t="s">
        <v>136</v>
      </c>
    </row>
    <row r="5" spans="2:12" x14ac:dyDescent="0.25">
      <c r="B5" s="103" t="s">
        <v>59</v>
      </c>
      <c r="C5" s="104"/>
      <c r="D5" s="105"/>
      <c r="F5" s="103" t="s">
        <v>59</v>
      </c>
      <c r="G5" s="104"/>
      <c r="H5" s="105"/>
      <c r="J5" s="103" t="s">
        <v>59</v>
      </c>
      <c r="K5" s="104"/>
      <c r="L5" s="105"/>
    </row>
    <row r="7" spans="2:12" x14ac:dyDescent="0.25">
      <c r="B7" s="106" t="s">
        <v>60</v>
      </c>
      <c r="C7" s="106" t="s">
        <v>61</v>
      </c>
      <c r="D7" s="106"/>
      <c r="F7" s="106" t="s">
        <v>60</v>
      </c>
      <c r="G7" s="106" t="s">
        <v>61</v>
      </c>
      <c r="H7" s="106"/>
      <c r="J7" s="106" t="s">
        <v>60</v>
      </c>
      <c r="K7" s="106" t="s">
        <v>61</v>
      </c>
      <c r="L7" s="106"/>
    </row>
    <row r="8" spans="2:12" x14ac:dyDescent="0.25">
      <c r="B8" s="107" t="s">
        <v>62</v>
      </c>
      <c r="C8" s="107" t="s">
        <v>63</v>
      </c>
      <c r="D8" s="108">
        <v>650000000</v>
      </c>
      <c r="F8" s="107" t="s">
        <v>62</v>
      </c>
      <c r="G8" s="107" t="s">
        <v>63</v>
      </c>
      <c r="H8" s="108">
        <v>650000000</v>
      </c>
      <c r="J8" s="107" t="s">
        <v>62</v>
      </c>
      <c r="K8" s="107" t="s">
        <v>63</v>
      </c>
      <c r="L8" s="108">
        <v>650000000</v>
      </c>
    </row>
    <row r="9" spans="2:12" x14ac:dyDescent="0.25">
      <c r="B9" s="109" t="s">
        <v>64</v>
      </c>
      <c r="C9" s="109" t="s">
        <v>65</v>
      </c>
      <c r="D9" s="110">
        <f>0.5%*D8</f>
        <v>3250000</v>
      </c>
      <c r="F9" s="109" t="s">
        <v>64</v>
      </c>
      <c r="G9" s="109" t="s">
        <v>65</v>
      </c>
      <c r="H9" s="110">
        <f>0.5%*H8</f>
        <v>3250000</v>
      </c>
      <c r="J9" s="109" t="s">
        <v>64</v>
      </c>
      <c r="K9" s="109" t="s">
        <v>65</v>
      </c>
      <c r="L9" s="110">
        <f>0.5%*L8</f>
        <v>3250000</v>
      </c>
    </row>
    <row r="10" spans="2:12" x14ac:dyDescent="0.25">
      <c r="B10" s="109" t="s">
        <v>66</v>
      </c>
      <c r="C10" s="109" t="s">
        <v>67</v>
      </c>
      <c r="D10" s="110">
        <f>D8*1.5%</f>
        <v>9750000</v>
      </c>
      <c r="F10" s="109" t="s">
        <v>66</v>
      </c>
      <c r="G10" s="109" t="s">
        <v>67</v>
      </c>
      <c r="H10" s="110">
        <f>H8*1.5%</f>
        <v>9750000</v>
      </c>
      <c r="J10" s="109" t="s">
        <v>66</v>
      </c>
      <c r="K10" s="109" t="s">
        <v>67</v>
      </c>
      <c r="L10" s="110">
        <f>L8*1.5%</f>
        <v>9750000</v>
      </c>
    </row>
    <row r="11" spans="2:12" ht="15.75" thickBot="1" x14ac:dyDescent="0.3">
      <c r="B11" s="111" t="s">
        <v>68</v>
      </c>
      <c r="C11" s="111" t="s">
        <v>69</v>
      </c>
      <c r="D11" s="112">
        <f>90%*D10</f>
        <v>8775000</v>
      </c>
      <c r="F11" s="111" t="s">
        <v>68</v>
      </c>
      <c r="G11" s="111" t="s">
        <v>69</v>
      </c>
      <c r="H11" s="112">
        <f>90%*H10</f>
        <v>8775000</v>
      </c>
      <c r="J11" s="111" t="s">
        <v>68</v>
      </c>
      <c r="K11" s="111" t="s">
        <v>69</v>
      </c>
      <c r="L11" s="112">
        <f>90%*L10</f>
        <v>8775000</v>
      </c>
    </row>
    <row r="12" spans="2:12" ht="15.75" thickTop="1" x14ac:dyDescent="0.25">
      <c r="B12" s="113" t="s">
        <v>70</v>
      </c>
      <c r="C12" s="113" t="s">
        <v>71</v>
      </c>
      <c r="D12" s="114">
        <f>D8-D9-D10+D11</f>
        <v>645775000</v>
      </c>
      <c r="F12" s="113" t="s">
        <v>70</v>
      </c>
      <c r="G12" s="113" t="s">
        <v>71</v>
      </c>
      <c r="H12" s="114">
        <f>H8-H9-H10+H11</f>
        <v>645775000</v>
      </c>
      <c r="J12" s="113" t="s">
        <v>70</v>
      </c>
      <c r="K12" s="113" t="s">
        <v>71</v>
      </c>
      <c r="L12" s="114">
        <f>L8-L9-L10+L11</f>
        <v>645775000</v>
      </c>
    </row>
    <row r="14" spans="2:12" x14ac:dyDescent="0.25">
      <c r="B14" s="106" t="s">
        <v>60</v>
      </c>
      <c r="C14" s="106" t="s">
        <v>72</v>
      </c>
      <c r="D14" s="106"/>
      <c r="F14" s="106" t="s">
        <v>60</v>
      </c>
      <c r="G14" s="106" t="s">
        <v>72</v>
      </c>
      <c r="H14" s="106"/>
      <c r="J14" s="106" t="s">
        <v>60</v>
      </c>
      <c r="K14" s="106" t="s">
        <v>72</v>
      </c>
      <c r="L14" s="106"/>
    </row>
    <row r="15" spans="2:12" x14ac:dyDescent="0.25">
      <c r="B15" s="115" t="s">
        <v>70</v>
      </c>
      <c r="C15" s="116" t="s">
        <v>73</v>
      </c>
      <c r="D15" s="117">
        <f>D12</f>
        <v>645775000</v>
      </c>
      <c r="F15" s="115" t="s">
        <v>70</v>
      </c>
      <c r="G15" s="116" t="s">
        <v>73</v>
      </c>
      <c r="H15" s="117">
        <f>H12</f>
        <v>645775000</v>
      </c>
      <c r="J15" s="115" t="s">
        <v>70</v>
      </c>
      <c r="K15" s="116" t="s">
        <v>73</v>
      </c>
      <c r="L15" s="117">
        <f>L12</f>
        <v>645775000</v>
      </c>
    </row>
    <row r="16" spans="2:12" x14ac:dyDescent="0.25">
      <c r="B16" s="118" t="s">
        <v>74</v>
      </c>
      <c r="C16" s="119" t="s">
        <v>75</v>
      </c>
      <c r="D16" s="120">
        <v>100000</v>
      </c>
      <c r="F16" s="118" t="s">
        <v>74</v>
      </c>
      <c r="G16" s="119" t="s">
        <v>75</v>
      </c>
      <c r="H16" s="120">
        <v>100000</v>
      </c>
      <c r="J16" s="118" t="s">
        <v>74</v>
      </c>
      <c r="K16" s="119" t="s">
        <v>75</v>
      </c>
      <c r="L16" s="120">
        <v>100000</v>
      </c>
    </row>
    <row r="17" spans="2:12" x14ac:dyDescent="0.25">
      <c r="B17" s="118" t="s">
        <v>76</v>
      </c>
      <c r="C17" s="119" t="s">
        <v>77</v>
      </c>
      <c r="D17" s="120">
        <v>-1000000</v>
      </c>
      <c r="F17" s="118" t="s">
        <v>76</v>
      </c>
      <c r="G17" s="119" t="s">
        <v>77</v>
      </c>
      <c r="H17" s="120">
        <v>-1000000</v>
      </c>
      <c r="J17" s="118" t="s">
        <v>76</v>
      </c>
      <c r="K17" s="119" t="s">
        <v>77</v>
      </c>
      <c r="L17" s="120">
        <v>-1000000</v>
      </c>
    </row>
    <row r="18" spans="2:12" x14ac:dyDescent="0.25">
      <c r="B18" s="118" t="s">
        <v>78</v>
      </c>
      <c r="C18" s="119" t="s">
        <v>79</v>
      </c>
      <c r="D18" s="120">
        <v>10000</v>
      </c>
      <c r="F18" s="118" t="s">
        <v>78</v>
      </c>
      <c r="G18" s="119" t="s">
        <v>79</v>
      </c>
      <c r="H18" s="120">
        <v>10000</v>
      </c>
      <c r="J18" s="118" t="s">
        <v>78</v>
      </c>
      <c r="K18" s="119" t="s">
        <v>79</v>
      </c>
      <c r="L18" s="120">
        <v>10000</v>
      </c>
    </row>
    <row r="19" spans="2:12" x14ac:dyDescent="0.25">
      <c r="B19" s="118" t="s">
        <v>80</v>
      </c>
      <c r="C19" s="119" t="s">
        <v>81</v>
      </c>
      <c r="D19" s="121">
        <f>SUM(D15:D18)</f>
        <v>644885000</v>
      </c>
      <c r="F19" s="118" t="s">
        <v>80</v>
      </c>
      <c r="G19" s="119" t="s">
        <v>81</v>
      </c>
      <c r="H19" s="121">
        <f>SUM(H15:H18)</f>
        <v>644885000</v>
      </c>
      <c r="J19" s="118" t="s">
        <v>80</v>
      </c>
      <c r="K19" s="119" t="s">
        <v>81</v>
      </c>
      <c r="L19" s="121">
        <f>SUM(L15:L18)</f>
        <v>644885000</v>
      </c>
    </row>
    <row r="20" spans="2:12" x14ac:dyDescent="0.25">
      <c r="B20" s="118" t="s">
        <v>82</v>
      </c>
      <c r="C20" s="119" t="s">
        <v>83</v>
      </c>
      <c r="D20" s="120">
        <v>550000000</v>
      </c>
      <c r="F20" s="118" t="s">
        <v>82</v>
      </c>
      <c r="G20" s="119" t="s">
        <v>83</v>
      </c>
      <c r="H20" s="120">
        <v>500000000</v>
      </c>
      <c r="J20" s="118" t="s">
        <v>82</v>
      </c>
      <c r="K20" s="119" t="s">
        <v>83</v>
      </c>
      <c r="L20" s="120">
        <v>600000000</v>
      </c>
    </row>
    <row r="21" spans="2:12" x14ac:dyDescent="0.25">
      <c r="B21" s="118" t="s">
        <v>84</v>
      </c>
      <c r="C21" s="119" t="s">
        <v>85</v>
      </c>
      <c r="D21" s="120">
        <v>10000000</v>
      </c>
      <c r="F21" s="118" t="s">
        <v>84</v>
      </c>
      <c r="G21" s="119" t="s">
        <v>85</v>
      </c>
      <c r="H21" s="120">
        <v>10000000</v>
      </c>
      <c r="J21" s="118" t="s">
        <v>84</v>
      </c>
      <c r="K21" s="119" t="s">
        <v>85</v>
      </c>
      <c r="L21" s="120">
        <v>10000000</v>
      </c>
    </row>
    <row r="22" spans="2:12" x14ac:dyDescent="0.25">
      <c r="B22" s="118" t="s">
        <v>86</v>
      </c>
      <c r="C22" s="119" t="s">
        <v>87</v>
      </c>
      <c r="D22" s="120">
        <v>5000000</v>
      </c>
      <c r="F22" s="118" t="s">
        <v>86</v>
      </c>
      <c r="G22" s="119" t="s">
        <v>87</v>
      </c>
      <c r="H22" s="120">
        <v>5000000</v>
      </c>
      <c r="J22" s="118" t="s">
        <v>86</v>
      </c>
      <c r="K22" s="119" t="s">
        <v>87</v>
      </c>
      <c r="L22" s="120">
        <v>5000000</v>
      </c>
    </row>
    <row r="23" spans="2:12" x14ac:dyDescent="0.25">
      <c r="B23" s="118" t="s">
        <v>88</v>
      </c>
      <c r="C23" s="119" t="s">
        <v>89</v>
      </c>
      <c r="D23" s="120">
        <v>5000000</v>
      </c>
      <c r="F23" s="118" t="s">
        <v>88</v>
      </c>
      <c r="G23" s="119" t="s">
        <v>89</v>
      </c>
      <c r="H23" s="120">
        <v>5000000</v>
      </c>
      <c r="J23" s="118" t="s">
        <v>88</v>
      </c>
      <c r="K23" s="119" t="s">
        <v>89</v>
      </c>
      <c r="L23" s="120">
        <v>5000000</v>
      </c>
    </row>
    <row r="24" spans="2:12" x14ac:dyDescent="0.25">
      <c r="B24" s="118" t="s">
        <v>90</v>
      </c>
      <c r="C24" s="119" t="s">
        <v>91</v>
      </c>
      <c r="D24" s="120">
        <v>-1000000</v>
      </c>
      <c r="F24" s="118" t="s">
        <v>90</v>
      </c>
      <c r="G24" s="119" t="s">
        <v>91</v>
      </c>
      <c r="H24" s="120">
        <v>-1000000</v>
      </c>
      <c r="J24" s="118" t="s">
        <v>90</v>
      </c>
      <c r="K24" s="119" t="s">
        <v>91</v>
      </c>
      <c r="L24" s="120">
        <v>-1000000</v>
      </c>
    </row>
    <row r="25" spans="2:12" x14ac:dyDescent="0.25">
      <c r="B25" s="118" t="s">
        <v>92</v>
      </c>
      <c r="C25" s="119" t="s">
        <v>93</v>
      </c>
      <c r="D25" s="120">
        <v>0</v>
      </c>
      <c r="F25" s="118" t="s">
        <v>92</v>
      </c>
      <c r="G25" s="119" t="s">
        <v>93</v>
      </c>
      <c r="H25" s="120">
        <v>0</v>
      </c>
      <c r="J25" s="118" t="s">
        <v>92</v>
      </c>
      <c r="K25" s="119" t="s">
        <v>93</v>
      </c>
      <c r="L25" s="120">
        <v>0</v>
      </c>
    </row>
    <row r="26" spans="2:12" x14ac:dyDescent="0.25">
      <c r="B26" s="118" t="s">
        <v>94</v>
      </c>
      <c r="C26" s="119" t="s">
        <v>95</v>
      </c>
      <c r="D26" s="122">
        <f>SUM(D20:D25)</f>
        <v>569000000</v>
      </c>
      <c r="F26" s="118" t="s">
        <v>94</v>
      </c>
      <c r="G26" s="119" t="s">
        <v>95</v>
      </c>
      <c r="H26" s="122">
        <f>SUM(H20:H25)</f>
        <v>519000000</v>
      </c>
      <c r="J26" s="118" t="s">
        <v>94</v>
      </c>
      <c r="K26" s="119" t="s">
        <v>95</v>
      </c>
      <c r="L26" s="122">
        <f>SUM(L20:L25)</f>
        <v>619000000</v>
      </c>
    </row>
    <row r="27" spans="2:12" x14ac:dyDescent="0.25">
      <c r="B27" s="118" t="s">
        <v>96</v>
      </c>
      <c r="C27" s="119" t="s">
        <v>97</v>
      </c>
      <c r="D27" s="120">
        <v>65000000</v>
      </c>
      <c r="F27" s="118" t="s">
        <v>96</v>
      </c>
      <c r="G27" s="119" t="s">
        <v>97</v>
      </c>
      <c r="H27" s="120">
        <v>65000000</v>
      </c>
      <c r="J27" s="118" t="s">
        <v>96</v>
      </c>
      <c r="K27" s="119" t="s">
        <v>97</v>
      </c>
      <c r="L27" s="120">
        <v>65000000</v>
      </c>
    </row>
    <row r="28" spans="2:12" x14ac:dyDescent="0.25">
      <c r="B28" s="118" t="s">
        <v>98</v>
      </c>
      <c r="C28" s="119" t="s">
        <v>130</v>
      </c>
      <c r="D28" s="121">
        <f>MIN(D27,12%*D8)</f>
        <v>65000000</v>
      </c>
      <c r="F28" s="118" t="s">
        <v>98</v>
      </c>
      <c r="G28" s="119" t="s">
        <v>130</v>
      </c>
      <c r="H28" s="121">
        <f>MIN(H27,12%*H8)</f>
        <v>65000000</v>
      </c>
      <c r="J28" s="118" t="s">
        <v>98</v>
      </c>
      <c r="K28" s="119" t="s">
        <v>130</v>
      </c>
      <c r="L28" s="121">
        <f>MIN(L27,12%*L8)</f>
        <v>65000000</v>
      </c>
    </row>
    <row r="29" spans="2:12" x14ac:dyDescent="0.25">
      <c r="B29" s="118" t="s">
        <v>99</v>
      </c>
      <c r="C29" s="119" t="s">
        <v>100</v>
      </c>
      <c r="D29" s="121">
        <f>D26+D28</f>
        <v>634000000</v>
      </c>
      <c r="F29" s="118" t="s">
        <v>99</v>
      </c>
      <c r="G29" s="119" t="s">
        <v>100</v>
      </c>
      <c r="H29" s="121">
        <f>H26+H28</f>
        <v>584000000</v>
      </c>
      <c r="J29" s="118" t="s">
        <v>99</v>
      </c>
      <c r="K29" s="119" t="s">
        <v>100</v>
      </c>
      <c r="L29" s="121">
        <f>L26+L28</f>
        <v>684000000</v>
      </c>
    </row>
    <row r="30" spans="2:12" ht="15.75" thickBot="1" x14ac:dyDescent="0.3">
      <c r="B30" s="123" t="s">
        <v>101</v>
      </c>
      <c r="C30" s="124" t="s">
        <v>102</v>
      </c>
      <c r="D30" s="125">
        <f>D19-D29</f>
        <v>10885000</v>
      </c>
      <c r="F30" s="123" t="s">
        <v>101</v>
      </c>
      <c r="G30" s="124" t="s">
        <v>102</v>
      </c>
      <c r="H30" s="125">
        <f>H19-H29</f>
        <v>60885000</v>
      </c>
      <c r="J30" s="123" t="s">
        <v>101</v>
      </c>
      <c r="K30" s="124" t="s">
        <v>102</v>
      </c>
      <c r="L30" s="125">
        <f>L19-L29</f>
        <v>-39115000</v>
      </c>
    </row>
    <row r="31" spans="2:12" ht="15.75" thickTop="1" x14ac:dyDescent="0.25">
      <c r="B31" s="126" t="s">
        <v>103</v>
      </c>
      <c r="C31" s="127" t="s">
        <v>127</v>
      </c>
      <c r="D31" s="128">
        <f>IF(D30/D19&gt;0.025,-(D30-0.025*D19)/0.975,IF(D30/D19&lt;-0.025,D29/1.025-D19,0))</f>
        <v>0</v>
      </c>
      <c r="F31" s="126" t="s">
        <v>103</v>
      </c>
      <c r="G31" s="127" t="s">
        <v>127</v>
      </c>
      <c r="H31" s="128">
        <f>IF(H30/H19&gt;0.025,-(H30-0.025*H19)/0.975,IF(H30/H19&lt;-0.025,H29/1.025-H19,0))</f>
        <v>-45910641.025641024</v>
      </c>
      <c r="J31" s="126" t="s">
        <v>103</v>
      </c>
      <c r="K31" s="127" t="s">
        <v>127</v>
      </c>
      <c r="L31" s="128">
        <f>IF(L30/L19&gt;0.025,-(L30-0.025*L19)/0.975,IF(L30/L19&lt;-0.025,L29/1.025-L19,0))</f>
        <v>22432073.170731783</v>
      </c>
    </row>
    <row r="32" spans="2:12" x14ac:dyDescent="0.25">
      <c r="B32" s="126" t="s">
        <v>104</v>
      </c>
      <c r="C32" s="127" t="s">
        <v>105</v>
      </c>
      <c r="D32" s="128">
        <f>D31+D19</f>
        <v>644885000</v>
      </c>
      <c r="F32" s="126" t="s">
        <v>104</v>
      </c>
      <c r="G32" s="127" t="s">
        <v>105</v>
      </c>
      <c r="H32" s="128">
        <f>H31+H19</f>
        <v>598974358.97435904</v>
      </c>
      <c r="J32" s="126" t="s">
        <v>104</v>
      </c>
      <c r="K32" s="127" t="s">
        <v>105</v>
      </c>
      <c r="L32" s="128">
        <f>L31+L19</f>
        <v>667317073.17073178</v>
      </c>
    </row>
    <row r="33" spans="2:12" x14ac:dyDescent="0.25">
      <c r="B33" s="126" t="s">
        <v>106</v>
      </c>
      <c r="C33" s="127" t="s">
        <v>107</v>
      </c>
      <c r="D33" s="128">
        <f>D30+D31</f>
        <v>10885000</v>
      </c>
      <c r="F33" s="126" t="s">
        <v>106</v>
      </c>
      <c r="G33" s="127" t="s">
        <v>107</v>
      </c>
      <c r="H33" s="128">
        <f>H30+H31</f>
        <v>14974358.974358976</v>
      </c>
      <c r="J33" s="126" t="s">
        <v>106</v>
      </c>
      <c r="K33" s="127" t="s">
        <v>107</v>
      </c>
      <c r="L33" s="128">
        <f>L30+L31</f>
        <v>-16682926.829268217</v>
      </c>
    </row>
    <row r="34" spans="2:12" x14ac:dyDescent="0.25">
      <c r="B34" s="129" t="s">
        <v>108</v>
      </c>
      <c r="C34" s="130" t="s">
        <v>109</v>
      </c>
      <c r="D34" s="131">
        <f>D33/D32</f>
        <v>1.687897842250944E-2</v>
      </c>
      <c r="F34" s="129" t="s">
        <v>108</v>
      </c>
      <c r="G34" s="130" t="s">
        <v>109</v>
      </c>
      <c r="H34" s="131">
        <f>H33/H32</f>
        <v>2.5000000000000001E-2</v>
      </c>
      <c r="J34" s="129" t="s">
        <v>108</v>
      </c>
      <c r="K34" s="130" t="s">
        <v>109</v>
      </c>
      <c r="L34" s="131">
        <f>L33/L32</f>
        <v>-2.4999999999999883E-2</v>
      </c>
    </row>
    <row r="35" spans="2:12" x14ac:dyDescent="0.25">
      <c r="C35" s="132"/>
      <c r="D35" s="133"/>
      <c r="G35" s="132"/>
      <c r="H35" s="133"/>
      <c r="K35" s="132"/>
      <c r="L35" s="133"/>
    </row>
    <row r="36" spans="2:12" x14ac:dyDescent="0.25">
      <c r="B36" s="134" t="s">
        <v>60</v>
      </c>
      <c r="C36" s="134" t="s">
        <v>110</v>
      </c>
      <c r="D36" s="134"/>
      <c r="F36" s="134" t="s">
        <v>60</v>
      </c>
      <c r="G36" s="134" t="s">
        <v>110</v>
      </c>
      <c r="H36" s="134"/>
      <c r="J36" s="134" t="s">
        <v>60</v>
      </c>
      <c r="K36" s="134" t="s">
        <v>110</v>
      </c>
      <c r="L36" s="134"/>
    </row>
    <row r="37" spans="2:12" x14ac:dyDescent="0.25">
      <c r="B37" s="118" t="s">
        <v>80</v>
      </c>
      <c r="C37" s="119" t="s">
        <v>81</v>
      </c>
      <c r="D37" s="121">
        <f>D19</f>
        <v>644885000</v>
      </c>
      <c r="F37" s="118" t="s">
        <v>80</v>
      </c>
      <c r="G37" s="119" t="s">
        <v>81</v>
      </c>
      <c r="H37" s="121">
        <f>H19</f>
        <v>644885000</v>
      </c>
      <c r="J37" s="118" t="s">
        <v>80</v>
      </c>
      <c r="K37" s="119" t="s">
        <v>81</v>
      </c>
      <c r="L37" s="121">
        <f>L19</f>
        <v>644885000</v>
      </c>
    </row>
    <row r="38" spans="2:12" x14ac:dyDescent="0.25">
      <c r="B38" s="118" t="s">
        <v>103</v>
      </c>
      <c r="C38" s="119" t="s">
        <v>111</v>
      </c>
      <c r="D38" s="121">
        <f>D31</f>
        <v>0</v>
      </c>
      <c r="F38" s="118" t="s">
        <v>103</v>
      </c>
      <c r="G38" s="119" t="s">
        <v>111</v>
      </c>
      <c r="H38" s="121">
        <f>H31</f>
        <v>-45910641.025641024</v>
      </c>
      <c r="J38" s="118" t="s">
        <v>103</v>
      </c>
      <c r="K38" s="119" t="s">
        <v>111</v>
      </c>
      <c r="L38" s="121">
        <f>L31</f>
        <v>22432073.170731783</v>
      </c>
    </row>
    <row r="39" spans="2:12" x14ac:dyDescent="0.25">
      <c r="B39" s="118" t="str">
        <f>B32</f>
        <v>V</v>
      </c>
      <c r="C39" s="119" t="s">
        <v>112</v>
      </c>
      <c r="D39" s="121">
        <f>D37+D38</f>
        <v>644885000</v>
      </c>
      <c r="F39" s="118" t="str">
        <f>F32</f>
        <v>V</v>
      </c>
      <c r="G39" s="119" t="s">
        <v>112</v>
      </c>
      <c r="H39" s="121">
        <f>H37+H38</f>
        <v>598974358.97435904</v>
      </c>
      <c r="J39" s="118" t="str">
        <f>J32</f>
        <v>V</v>
      </c>
      <c r="K39" s="119" t="s">
        <v>112</v>
      </c>
      <c r="L39" s="121">
        <f>L37+L38</f>
        <v>667317073.17073178</v>
      </c>
    </row>
    <row r="40" spans="2:12" x14ac:dyDescent="0.25">
      <c r="B40" s="118" t="s">
        <v>82</v>
      </c>
      <c r="C40" s="119" t="s">
        <v>83</v>
      </c>
      <c r="D40" s="121">
        <f>D20</f>
        <v>550000000</v>
      </c>
      <c r="F40" s="118" t="s">
        <v>82</v>
      </c>
      <c r="G40" s="119" t="s">
        <v>83</v>
      </c>
      <c r="H40" s="121">
        <f>H20</f>
        <v>500000000</v>
      </c>
      <c r="J40" s="118" t="s">
        <v>82</v>
      </c>
      <c r="K40" s="119" t="s">
        <v>83</v>
      </c>
      <c r="L40" s="121">
        <f>L20</f>
        <v>600000000</v>
      </c>
    </row>
    <row r="41" spans="2:12" x14ac:dyDescent="0.25">
      <c r="B41" s="118" t="s">
        <v>113</v>
      </c>
      <c r="C41" s="119" t="s">
        <v>114</v>
      </c>
      <c r="D41" s="120">
        <v>9000000</v>
      </c>
      <c r="F41" s="118" t="s">
        <v>113</v>
      </c>
      <c r="G41" s="119" t="s">
        <v>114</v>
      </c>
      <c r="H41" s="120">
        <v>9000000</v>
      </c>
      <c r="J41" s="118" t="s">
        <v>113</v>
      </c>
      <c r="K41" s="119" t="s">
        <v>114</v>
      </c>
      <c r="L41" s="120">
        <v>9000000</v>
      </c>
    </row>
    <row r="42" spans="2:12" x14ac:dyDescent="0.25">
      <c r="B42" s="118" t="s">
        <v>86</v>
      </c>
      <c r="C42" s="119" t="s">
        <v>87</v>
      </c>
      <c r="D42" s="121">
        <f>D22</f>
        <v>5000000</v>
      </c>
      <c r="F42" s="118" t="s">
        <v>86</v>
      </c>
      <c r="G42" s="119" t="s">
        <v>87</v>
      </c>
      <c r="H42" s="121">
        <f>H22</f>
        <v>5000000</v>
      </c>
      <c r="J42" s="118" t="s">
        <v>86</v>
      </c>
      <c r="K42" s="119" t="s">
        <v>87</v>
      </c>
      <c r="L42" s="121">
        <f>L22</f>
        <v>5000000</v>
      </c>
    </row>
    <row r="43" spans="2:12" x14ac:dyDescent="0.25">
      <c r="B43" s="118" t="s">
        <v>115</v>
      </c>
      <c r="C43" s="119" t="s">
        <v>116</v>
      </c>
      <c r="D43" s="120">
        <v>100000</v>
      </c>
      <c r="F43" s="118" t="s">
        <v>115</v>
      </c>
      <c r="G43" s="119" t="s">
        <v>116</v>
      </c>
      <c r="H43" s="120">
        <v>100000</v>
      </c>
      <c r="J43" s="118" t="s">
        <v>115</v>
      </c>
      <c r="K43" s="119" t="s">
        <v>116</v>
      </c>
      <c r="L43" s="120">
        <v>100000</v>
      </c>
    </row>
    <row r="44" spans="2:12" x14ac:dyDescent="0.25">
      <c r="B44" s="118" t="s">
        <v>88</v>
      </c>
      <c r="C44" s="119" t="str">
        <f>C23</f>
        <v>Non-Claim Medical Payments (e.g. CAH settlements, etc.)</v>
      </c>
      <c r="D44" s="121">
        <f>D23</f>
        <v>5000000</v>
      </c>
      <c r="F44" s="118" t="s">
        <v>88</v>
      </c>
      <c r="G44" s="119" t="str">
        <f>G23</f>
        <v>Non-Claim Medical Payments (e.g. CAH settlements, etc.)</v>
      </c>
      <c r="H44" s="121">
        <f>H23</f>
        <v>5000000</v>
      </c>
      <c r="J44" s="118" t="s">
        <v>88</v>
      </c>
      <c r="K44" s="119" t="str">
        <f>K23</f>
        <v>Non-Claim Medical Payments (e.g. CAH settlements, etc.)</v>
      </c>
      <c r="L44" s="121">
        <f>L23</f>
        <v>5000000</v>
      </c>
    </row>
    <row r="45" spans="2:12" x14ac:dyDescent="0.25">
      <c r="B45" s="118" t="s">
        <v>90</v>
      </c>
      <c r="C45" s="119" t="s">
        <v>91</v>
      </c>
      <c r="D45" s="121">
        <f>D24</f>
        <v>-1000000</v>
      </c>
      <c r="F45" s="118" t="s">
        <v>90</v>
      </c>
      <c r="G45" s="119" t="s">
        <v>91</v>
      </c>
      <c r="H45" s="121">
        <f>H24</f>
        <v>-1000000</v>
      </c>
      <c r="J45" s="118" t="s">
        <v>90</v>
      </c>
      <c r="K45" s="119" t="s">
        <v>91</v>
      </c>
      <c r="L45" s="121">
        <f>L24</f>
        <v>-1000000</v>
      </c>
    </row>
    <row r="46" spans="2:12" x14ac:dyDescent="0.25">
      <c r="B46" s="118" t="s">
        <v>117</v>
      </c>
      <c r="C46" s="119" t="s">
        <v>118</v>
      </c>
      <c r="D46" s="120">
        <v>2000000</v>
      </c>
      <c r="F46" s="118" t="s">
        <v>117</v>
      </c>
      <c r="G46" s="119" t="s">
        <v>118</v>
      </c>
      <c r="H46" s="120">
        <v>2000000</v>
      </c>
      <c r="J46" s="118" t="s">
        <v>117</v>
      </c>
      <c r="K46" s="119" t="s">
        <v>118</v>
      </c>
      <c r="L46" s="120">
        <v>2000000</v>
      </c>
    </row>
    <row r="47" spans="2:12" x14ac:dyDescent="0.25">
      <c r="B47" s="118" t="s">
        <v>92</v>
      </c>
      <c r="C47" s="119" t="s">
        <v>93</v>
      </c>
      <c r="D47" s="121">
        <f>D25</f>
        <v>0</v>
      </c>
      <c r="F47" s="118" t="s">
        <v>92</v>
      </c>
      <c r="G47" s="119" t="s">
        <v>93</v>
      </c>
      <c r="H47" s="121">
        <f>H25</f>
        <v>0</v>
      </c>
      <c r="J47" s="118" t="s">
        <v>92</v>
      </c>
      <c r="K47" s="119" t="s">
        <v>93</v>
      </c>
      <c r="L47" s="121">
        <f>L25</f>
        <v>0</v>
      </c>
    </row>
    <row r="48" spans="2:12" ht="25.5" x14ac:dyDescent="0.25">
      <c r="B48" s="118" t="s">
        <v>119</v>
      </c>
      <c r="C48" s="119" t="s">
        <v>133</v>
      </c>
      <c r="D48" s="122">
        <f>SUM(D40:D47)</f>
        <v>570100000</v>
      </c>
      <c r="F48" s="118" t="s">
        <v>119</v>
      </c>
      <c r="G48" s="119" t="s">
        <v>133</v>
      </c>
      <c r="H48" s="122">
        <f>SUM(H40:H47)</f>
        <v>520100000</v>
      </c>
      <c r="J48" s="118" t="s">
        <v>119</v>
      </c>
      <c r="K48" s="119" t="s">
        <v>133</v>
      </c>
      <c r="L48" s="122">
        <f>SUM(L40:L47)</f>
        <v>620100000</v>
      </c>
    </row>
    <row r="49" spans="2:12" x14ac:dyDescent="0.25">
      <c r="B49" s="118" t="s">
        <v>120</v>
      </c>
      <c r="C49" s="119" t="s">
        <v>131</v>
      </c>
      <c r="D49" s="135">
        <f>IF(D39=0,0,D48/D39)</f>
        <v>0.88403358738379711</v>
      </c>
      <c r="F49" s="118" t="s">
        <v>120</v>
      </c>
      <c r="G49" s="119" t="s">
        <v>131</v>
      </c>
      <c r="H49" s="135">
        <f>IF(H39=0,0,H48/H39)</f>
        <v>0.86831763698630127</v>
      </c>
      <c r="J49" s="118" t="s">
        <v>120</v>
      </c>
      <c r="K49" s="119" t="s">
        <v>131</v>
      </c>
      <c r="L49" s="135">
        <f>IF(L39=0,0,L48/L39)</f>
        <v>0.92924342105263147</v>
      </c>
    </row>
    <row r="50" spans="2:12" x14ac:dyDescent="0.25">
      <c r="B50" s="118" t="s">
        <v>121</v>
      </c>
      <c r="C50" s="119" t="s">
        <v>122</v>
      </c>
      <c r="D50" s="136">
        <v>0.85</v>
      </c>
      <c r="F50" s="118" t="s">
        <v>121</v>
      </c>
      <c r="G50" s="119" t="s">
        <v>122</v>
      </c>
      <c r="H50" s="136">
        <v>0.85</v>
      </c>
      <c r="J50" s="118" t="s">
        <v>121</v>
      </c>
      <c r="K50" s="119" t="s">
        <v>122</v>
      </c>
      <c r="L50" s="136">
        <v>0.85</v>
      </c>
    </row>
    <row r="51" spans="2:12" ht="15.75" thickBot="1" x14ac:dyDescent="0.3">
      <c r="B51" s="123" t="s">
        <v>123</v>
      </c>
      <c r="C51" s="124" t="s">
        <v>132</v>
      </c>
      <c r="D51" s="137">
        <f>IF(D50-D49&lt;0,0,D50-D49)</f>
        <v>0</v>
      </c>
      <c r="F51" s="123" t="s">
        <v>123</v>
      </c>
      <c r="G51" s="124" t="s">
        <v>132</v>
      </c>
      <c r="H51" s="137">
        <f>IF(H50-H49&lt;0,0,H50-H49)</f>
        <v>0</v>
      </c>
      <c r="J51" s="123" t="s">
        <v>123</v>
      </c>
      <c r="K51" s="124" t="s">
        <v>132</v>
      </c>
      <c r="L51" s="137">
        <f>IF(L50-L49&lt;0,0,L50-L49)</f>
        <v>0</v>
      </c>
    </row>
    <row r="52" spans="2:12" ht="15.75" thickTop="1" x14ac:dyDescent="0.25">
      <c r="B52" s="129" t="s">
        <v>124</v>
      </c>
      <c r="C52" s="130" t="s">
        <v>134</v>
      </c>
      <c r="D52" s="138">
        <f>IF(D51=0,0,-(D39-(D48/D50)))</f>
        <v>0</v>
      </c>
      <c r="F52" s="129" t="s">
        <v>124</v>
      </c>
      <c r="G52" s="130" t="s">
        <v>134</v>
      </c>
      <c r="H52" s="138">
        <f>IF(H51=0,0,-(H39-(H48/H50)))</f>
        <v>0</v>
      </c>
      <c r="J52" s="129" t="s">
        <v>124</v>
      </c>
      <c r="K52" s="130" t="s">
        <v>134</v>
      </c>
      <c r="L52" s="138">
        <f>IF(L51=0,0,-(L39-(L48/L50)))</f>
        <v>0</v>
      </c>
    </row>
    <row r="53" spans="2:12" ht="15.75" x14ac:dyDescent="0.25">
      <c r="B53" s="141" t="s">
        <v>128</v>
      </c>
      <c r="C53" s="141"/>
      <c r="D53" s="139"/>
      <c r="F53" s="141" t="s">
        <v>128</v>
      </c>
      <c r="G53" s="141"/>
      <c r="H53" s="139"/>
      <c r="J53" s="141" t="s">
        <v>128</v>
      </c>
      <c r="K53" s="141"/>
      <c r="L53" s="139"/>
    </row>
    <row r="54" spans="2:12" x14ac:dyDescent="0.25">
      <c r="B54" s="142" t="s">
        <v>148</v>
      </c>
      <c r="C54" s="141"/>
      <c r="D54" s="140"/>
      <c r="F54" s="142" t="s">
        <v>148</v>
      </c>
      <c r="G54" s="141"/>
      <c r="H54" s="140"/>
      <c r="J54" s="142" t="s">
        <v>148</v>
      </c>
      <c r="K54" s="141"/>
      <c r="L54" s="140"/>
    </row>
    <row r="55" spans="2:12" x14ac:dyDescent="0.25">
      <c r="B55" s="143" t="s">
        <v>126</v>
      </c>
      <c r="C55" s="141"/>
      <c r="D55" s="140"/>
      <c r="F55" s="143" t="s">
        <v>126</v>
      </c>
      <c r="G55" s="141"/>
      <c r="H55" s="140"/>
      <c r="J55" s="143" t="s">
        <v>126</v>
      </c>
      <c r="K55" s="141"/>
      <c r="L55" s="140"/>
    </row>
    <row r="56" spans="2:12" x14ac:dyDescent="0.25">
      <c r="B56" s="144" t="s">
        <v>125</v>
      </c>
      <c r="C56" s="141"/>
      <c r="D56" s="63"/>
      <c r="F56" s="144" t="s">
        <v>125</v>
      </c>
      <c r="G56" s="141"/>
      <c r="H56" s="63"/>
      <c r="J56" s="144" t="s">
        <v>125</v>
      </c>
      <c r="K56" s="141"/>
      <c r="L56" s="63"/>
    </row>
  </sheetData>
  <pageMargins left="0.7" right="0.7" top="0.75" bottom="0.75" header="0.3" footer="0.3"/>
  <pageSetup scale="83"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ore Metadata" ma:contentTypeID="0x010100BAD75EA75CD83B45A34259F0B184D0270046BCFC8BEE9F164099E99F62FD0393EA" ma:contentTypeVersion="7" ma:contentTypeDescription="" ma:contentTypeScope="" ma:versionID="879b07787cd4b62fc3c827bf93f3e156">
  <xsd:schema xmlns:xsd="http://www.w3.org/2001/XMLSchema" xmlns:xs="http://www.w3.org/2001/XMLSchema" xmlns:p="http://schemas.microsoft.com/office/2006/metadata/properties" xmlns:ns2="bc904590-817d-4546-93c9-e39b499093cd" xmlns:ns3="32249c65-da49-47e9-984a-f0159a6f027c" targetNamespace="http://schemas.microsoft.com/office/2006/metadata/properties" ma:root="true" ma:fieldsID="a670512e9556da20a2d2db0e1844b363" ns2:_="" ns3:_="">
    <xsd:import namespace="bc904590-817d-4546-93c9-e39b499093cd"/>
    <xsd:import namespace="32249c65-da49-47e9-984a-f0159a6f027c"/>
    <xsd:element name="properties">
      <xsd:complexType>
        <xsd:sequence>
          <xsd:element name="documentManagement">
            <xsd:complexType>
              <xsd:all>
                <xsd:element ref="ns3:SharedWithUser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04590-817d-4546-93c9-e39b499093cd" elementFormDefault="qualified">
    <xsd:import namespace="http://schemas.microsoft.com/office/2006/documentManagement/types"/>
    <xsd:import namespace="http://schemas.microsoft.com/office/infopath/2007/PartnerControls"/>
    <xsd:element name="Category" ma:index="10" nillable="true" ma:displayName="Category" ma:default="SOAR 2024" ma:format="Dropdown" ma:internalName="Category">
      <xsd:simpleType>
        <xsd:union memberTypes="dms:Text">
          <xsd:simpleType>
            <xsd:restriction base="dms:Choice">
              <xsd:enumeration value="Landing Page"/>
              <xsd:enumeration value="Grants Page"/>
              <xsd:enumeration value="Ongoing Grants"/>
              <xsd:enumeration value="RFA 5356 DD"/>
              <xsd:enumeration value="RFA 5486 SOAR"/>
              <xsd:enumeration value="RFA 4461 CFS DV &amp; SA"/>
              <xsd:enumeration value="RFA 5626 Food Security"/>
              <xsd:enumeration value="RFA 5622 Food Bank"/>
              <xsd:enumeration value="RFA 5699 Clearinghouse"/>
              <xsd:enumeration value="RFA 3934 SNAP"/>
              <xsd:enumeration value="RFA 5669 PHHS Block Grants"/>
              <xsd:enumeration value="RFA 4693 Stem Cell"/>
              <xsd:enumeration value="RFI 5329 MLTC A&amp;D Networks"/>
              <xsd:enumeration value="Contracts Page"/>
              <xsd:enumeration value="Ongoing Contracts"/>
              <xsd:enumeration value="RFQ iServe"/>
              <xsd:enumeration value="RFQ 5515 Tiered Foster Care"/>
              <xsd:enumeration value="RFQ Interpreters"/>
              <xsd:enumeration value="RFP MCO"/>
              <xsd:enumeration value="Funding Announcement - Lifespan"/>
              <xsd:enumeration value="Other"/>
              <xsd:enumeration value="RFQ NHAP"/>
              <xsd:enumeration value="AccessNe"/>
              <xsd:enumeration value="Serve Nebraska"/>
              <xsd:enumeration value="Vaccines for Children"/>
              <xsd:enumeration value="5553 Transitional Living Housing"/>
              <xsd:enumeration value="6124 NCDD HCBS"/>
              <xsd:enumeration value="6129 Employment Focus"/>
              <xsd:enumeration value="6137 NCDD Opportunity"/>
              <xsd:enumeration value="5965 SNAP E&amp;T"/>
              <xsd:enumeration value="6327 NDCC Opportunity"/>
              <xsd:enumeration value="6038 NDCC home and community"/>
              <xsd:enumeration value="NHAP 2024"/>
              <xsd:enumeration value="SOAR 2024"/>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bc904590-817d-4546-93c9-e39b499093cd" xsi:nil="true"/>
    <SharedWithUsers xmlns="32249c65-da49-47e9-984a-f0159a6f027c">
      <UserInfo>
        <DisplayName/>
        <AccountId xsi:nil="true"/>
        <AccountType/>
      </UserInfo>
    </SharedWithUsers>
  </documentManagement>
</p:properties>
</file>

<file path=customXml/itemProps1.xml><?xml version="1.0" encoding="utf-8"?>
<ds:datastoreItem xmlns:ds="http://schemas.openxmlformats.org/officeDocument/2006/customXml" ds:itemID="{7AB7A0A0-3E3A-426B-96D6-BAC1F82FD904}"/>
</file>

<file path=customXml/itemProps2.xml><?xml version="1.0" encoding="utf-8"?>
<ds:datastoreItem xmlns:ds="http://schemas.openxmlformats.org/officeDocument/2006/customXml" ds:itemID="{2F4C3C37-DA75-4A29-9E97-021A46CDAB8C}"/>
</file>

<file path=customXml/itemProps3.xml><?xml version="1.0" encoding="utf-8"?>
<ds:datastoreItem xmlns:ds="http://schemas.openxmlformats.org/officeDocument/2006/customXml" ds:itemID="{15EF30C4-6100-4011-9D21-F07AA3A927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Contents</vt:lpstr>
      <vt:lpstr>High Cost Drug Risk Corridor</vt:lpstr>
      <vt:lpstr>Expansion Risk Corridor</vt:lpstr>
      <vt:lpstr>HIPP Risk Corridor Summary</vt:lpstr>
      <vt:lpstr>PW RC and MLR Calc Examples</vt:lpstr>
      <vt:lpstr>Contents!Print_Area</vt:lpstr>
      <vt:lpstr>'Expansion Risk Corridor'!Print_Area</vt:lpstr>
      <vt:lpstr>'HIPP Risk Corridor Summary'!Print_Area</vt:lpstr>
      <vt:lpstr>'PW RC and MLR Calc Examples'!Print_Area</vt:lpstr>
      <vt:lpstr>'High Cost Drug Risk Corridor'!Print_Titles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Barry Jordan</dc:creator>
  <cp:lastModifiedBy>Barry Jordan</cp:lastModifiedBy>
  <cp:lastPrinted>2022-05-10T12:39:01Z</cp:lastPrinted>
  <dcterms:created xsi:type="dcterms:W3CDTF">2022-05-10T08:30:06Z</dcterms:created>
  <dcterms:modified xsi:type="dcterms:W3CDTF">2022-05-10T13:21:09Z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4" name="ContentTypeId">
    <vt:lpwstr>0x010100BAD75EA75CD83B45A34259F0B184D0270046BCFC8BEE9F164099E99F62FD0393EA</vt:lpwstr>
  </property>
  <property fmtid="{D5CDD505-2E9C-101B-9397-08002B2CF9AE}" pid="5" name="Order">
    <vt:r8>46300</vt:r8>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ComplianceAssetId">
    <vt:lpwstr/>
  </property>
</Properties>
</file>