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9E03388B-9CA5-4115-8819-BF74CFA3BB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_202401181405" sheetId="1" r:id="rId1"/>
  </sheets>
  <definedNames>
    <definedName name="_xlnm._FilterDatabase" localSheetId="0" hidden="1">'05_202401181405'!$A$1:$G$2097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</calcChain>
</file>

<file path=xl/sharedStrings.xml><?xml version="1.0" encoding="utf-8"?>
<sst xmlns="http://schemas.openxmlformats.org/spreadsheetml/2006/main" count="9144" uniqueCount="1780">
  <si>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</si>
  <si>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</si>
  <si>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</si>
  <si>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</si>
  <si>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</si>
  <si>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</si>
  <si>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</si>
  <si>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</si>
  <si>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</si>
  <si>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HOSPITAL OUTPATIENT CLINIC VISIT SPECIMEN COLLECTION FOR (SARS-COV-2)   (COVID-19), ANY SPECIMEN SOURCE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</si>
  <si>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</si>
  <si>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</si>
  <si>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</si>
  <si>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SCREENING CYTOPATHOLOGY, CERVICAL OR VAGINAL (ANY REPORTING SYSTEM),  AUTOMATED THIN LAYER PREPARATION,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</si>
  <si>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</si>
  <si>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SCREENING CYTOPAYOLOGY, CERVICAL OR VAGINAL (ANY REPORTING SYSTEM), AUTOMATED THIN LAYER PREP., REQUIRING INTERPRETATION BY MD                  </t>
  </si>
  <si>
    <t xml:space="preserve">SCREENING CYTOPATHOLOGY, CERVICAL OR VAGINAL (ANY REPORTING SYSTEM), COLLECTED  AUTOMATED SYSTEM, UNDER PHYSICIAN SUPERVISION                   </t>
  </si>
  <si>
    <t>SCREENING CYTOPATHOLOGY, CERVICAL OR VAGINAL (ANY REPORTING SYSTEM), COLLECTED  AUTOMATED SYSTEM AND MANUAL RESCREENING UNDER PHYSICIAN SUPERVIS</t>
  </si>
  <si>
    <t xml:space="preserve">SCREENING CYTOPATHOLOGY, CERVICAL OR VAGINAL, PERFORMED BY AUTOMATED SYSTEM UNDER PHYSICIAN SUPERVISION                                         </t>
  </si>
  <si>
    <t xml:space="preserve">SCREENING CYTOPATHOLOGY SMEARS, CERVICAL OR VAGINAL, PERFORMED BY AUTOMATED SYSTEM WITH MANUAL RESCREENING                                      </t>
  </si>
  <si>
    <t xml:space="preserve">COLORECTAL CANCER SCREENING; FECAL OCCULT BLOOD TEST, IMMUNOASSAY, 1-3SIMULTANEOUS                                                              </t>
  </si>
  <si>
    <t xml:space="preserve">COLORECTAL CANCER SCREENING; FECAL OCCULT BLOOD TEST, IMMUNOASSAY, 1-3  SIMULTANEOUS                                                            </t>
  </si>
  <si>
    <t xml:space="preserve">INFECTIOUS AGENT ANTIBODY DETECTION BY ENZYME IMMUNOASSAY (EIA) TECHNIQUE, HIV-1 AND/OR HIV-2, SCREENING                                        </t>
  </si>
  <si>
    <t xml:space="preserve">INFECTIOUS AGENT ANTIBODY DETECTION BY ENZYME-LINKED IMMUNOSORBENT ASSAY (ELISA) TECHNIQUE, HIV-1 AND/OR HIV-2, SCREENING                       </t>
  </si>
  <si>
    <t xml:space="preserve">INFECTIOUS AGENT ANTIBODY DETECTION BY ENZYME-LINKED IMMUNSORBENT ASSAY (ELISA) TECHNIQEU, HIV-1 AND/OR HIV-2, SCREENING                        </t>
  </si>
  <si>
    <t xml:space="preserve">INFECTIOUS AGENT ANTIBODY DETECTION BY RAPID ANTIBODY TEST, HIV-1 AND/OR HIV-2, SCREENING                                                       </t>
  </si>
  <si>
    <t xml:space="preserve">COLORECTAL CANCER SCREENING; STOOL-BASED DNA AND FECAL OCCULT HEMOGLOBIN (E.E., KRAS, NDRG4 AND BMP3)                                           </t>
  </si>
  <si>
    <t xml:space="preserve">COLLECTION OF VENOUS BLOOD BY VENIPUNCTURE OR URINE SAMPLE BY CATHETERIZATION FROM AN INDIVIDUAL IN A SKILLED NURSING FACILITY (SNF) OR BY AI   </t>
  </si>
  <si>
    <t xml:space="preserve">HEPATITS C ANTIBODY SCREENING, FOR INDIVIDUAL AT HIGH RISK AND OTHER COVERED INDICATION(S)                                                      </t>
  </si>
  <si>
    <t xml:space="preserve">HIV ANTIGEN/ANTIBODY, COMBINATION ASSAY, SCREENING                                                                                              </t>
  </si>
  <si>
    <t>DRUG TEST(S),DEFINTIVE, UTILILZING DRUG IDENTIFICATION METHOD ABLE TO IDENTIFY INDIVIDUAL DRUGS AND DISTINGUISH BTWN STRUCTUAL...PER DAY 1-7 DRU</t>
  </si>
  <si>
    <t>DRUG TEST(S), DEFINTIVE, UTILIZING DRUG IDENTIFICATION METHODS ABLE TO IDENTIFY INDIVIDUAL DRUGS AND DISTINGUISH BTWN... DRUG TEST DEF 8-14 CLAS</t>
  </si>
  <si>
    <t>DRUG TEST(S) DEFINTIVE, UTILIZING DRUG IDENTIFICAITON METHODS ABLE TO IDENTIFY INDIVIDUAL DRUGS BTWN STRUCTURAL ISOMERS... 15-21 DDRUG CLASSE(ES</t>
  </si>
  <si>
    <t xml:space="preserve">DRUG TEST(S) DEFINTIVE, UTILIZING DRUG IDENTIFICAITON METHODS ABLE TO IDENTIFY INDIVIDUAL DRUGS BTWN STRUCTURAL ISOMERS...22 OR MORE PER DAY.   </t>
  </si>
  <si>
    <t xml:space="preserve">SPECIMEN COLLECTION FOR COVID-19, ANY SPECIMEN SOURCE                                                                                           </t>
  </si>
  <si>
    <t xml:space="preserve">SPECIMEN COLLECTION FOR COVID-19, FROM AN INDIVIDUAL IN A SNF OR LABORATORY ON BEHALF OF A HOME HEALTH AGENCY, ANY SPECIMEN SOURCE              </t>
  </si>
  <si>
    <t xml:space="preserve">WARFARIN RESPONSIVENESS TESTING BY GENETIC TECHNIQUE USING ANY METHOD,ANY NUMBER OF SPECIMEN(S)                                                 </t>
  </si>
  <si>
    <t xml:space="preserve">MUCOPROTEIN, BLOOD, SEROMUCOID, MEDICAL NECESSITY PROCEDURE (J90S)                                                                              </t>
  </si>
  <si>
    <t xml:space="preserve">SCREENING PAP SMEAR, CERVICAL OR VAGINAL, BY TECHNICIAN UNDER PHYSICIAN SUPERVISION (MUTUAL OF OMAHA)(APRIL 92)                                 </t>
  </si>
  <si>
    <t xml:space="preserve">CATHERIZATION FOR COLLECTION OF SPECIMEN, SINGLE PATIENT,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</si>
  <si>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</si>
  <si>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MOUNTS, INC. PREP OF VAGINAL, CERVICAL OF SKIN SPECIMENS PPM LEVELTEST 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</si>
  <si>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</si>
  <si>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</si>
  <si>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</si>
  <si>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DIRECT, QUALITATIVE EXAM OF VAGINAL OR CERVICAL MUCOUS PPMLEVEL TEST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</si>
  <si>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</si>
  <si>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</si>
  <si>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</si>
  <si>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INFECTIOUS AGENT DETECTION BY DNA OR RNA;COVID-19,AMPLIFIED PROBE TECHNIQUE,HIGH THROUGHPUT TECHNOLOGIES AS DESCRIBED BY CMS-2020-01-R          </t>
  </si>
  <si>
    <t xml:space="preserve">COVID-19,ANY TECHNIQUE,MULTIPLE TYPES OR SUBTYPES,NON-CDC, MAKING USE OF HIGH THROUGHPUT TECHNOLOGIES AS DESRIBED BY CMS-2020-01-R              </t>
  </si>
  <si>
    <t xml:space="preserve">"INFECTIOUS AGENT DETECTION BY NUCLEIC ACID (DNA OR RNA); SEVERE ACUTE RESPIRATO                                                               </t>
  </si>
  <si>
    <t xml:space="preserve">"Analysis of galectin-3-binding protein and scavenger receptor cysteine-rich typ                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</si>
  <si>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</si>
  <si>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tomography                                                                 </t>
  </si>
  <si>
    <t xml:space="preserve">INFECTIOUS DISEASE(BACTERIAL OR VIRAL RESPIRATORY TRACT INFECTION), PATHOGEN-SPECIFIC NUCLEIC ACID (DNA OR RNA), 22 TARGETS INCLUDING SEVERE A  </t>
  </si>
  <si>
    <t xml:space="preserve">COVID EMERGENCY PERIOD                                                                                                                          </t>
  </si>
  <si>
    <t xml:space="preserve">ANTIBODY, SEVERE ACUTE RESPIRATORY SYNDROME CORONAVIRUS 2(SARS-COV-2) (CORONAVIRUS DISEASE ÝCOVID-19¨), INCLUDES TITER(S), WHEN PERFORMED (DO   </t>
  </si>
  <si>
    <t xml:space="preserve">                                                                COVID EMERGENCY PERIOD                                                          </t>
  </si>
  <si>
    <t xml:space="preserve">INFECTIOUS DISEASE (BACTERIAL OR VIRAL RESPIRATORY TRACT INFECTION) PATHOGEN-SPECIFIC DNA AND RNA, 21 TARGETS, INCLUDING SEVERE ACUTE RESPIRAT  </t>
  </si>
  <si>
    <t xml:space="preserve">SURROGATE VIRAL NEUTRALIZATION TEST (SVNT), SEVERE ACUTE RESPIRATORY SYNDROME CORONAVIRUS 2 (SARS-COV-2) (CORONAVIRUS DISEASE ÝCOVID-19¨), ELI  </t>
  </si>
  <si>
    <t xml:space="preserve">INFECTIOUS DISEASE (VIRAL RESPIRATORY TRACT INFECTION),PATHOGEN-SPECIFIC RNA, 3 TARGETS (SEVERE ACUTE RESPIRATORY SYNDROME CORONAVIRUS 2 ÝSARS  </t>
  </si>
  <si>
    <t xml:space="preserve">INFECTIOUS DISEASE (VIRAL RESPIRATORY TRACT INFECTION),PATHOGEN-SPECIFIC RNA, 4 TARGETS (SEVERE ACUTE RESPIRATORY SYNDROME CORONAVIRUS 2 ÝSARS  </t>
  </si>
  <si>
    <t xml:space="preserve">"Targeted genomic sequence analysis panel, solid organ neoplasm, cell-free circu                                                               </t>
  </si>
  <si>
    <t xml:space="preserve">"Obstetrics (preeclampsia), biochemical assay of placental-growth factor, time-r                                                               </t>
  </si>
  <si>
    <t xml:space="preserve">"Oncology (solid organ), dna, comprehensive genomic profiling, 257 genes, interr                                                               </t>
  </si>
  <si>
    <t xml:space="preserve">"Oncology (thyroid), mutation analysis of 10 genes and 37 rna fusions and expres                                                               </t>
  </si>
  <si>
    <t xml:space="preserve">"Red blood cell antigen typing, dna, genotyping of at least 16 blood groups with                                                               </t>
  </si>
  <si>
    <t xml:space="preserve">"Obstetrics (preterm birth), insulin-like growth factor?binding protein 4 (ibp4)                                                               </t>
  </si>
  <si>
    <t xml:space="preserve">"Oncology (brain), spheroid cell culture in a 3d microenvironment, 12 drug panel                                                               </t>
  </si>
  <si>
    <t xml:space="preserve">"Oncology (breast), semiquantitative analysis of 32 phosphoproteins and protein                                                                </t>
  </si>
  <si>
    <t xml:space="preserve">"Oncology (solid organ neoplasm), targeted genomic sequence dna analysis of 505                                                                </t>
  </si>
  <si>
    <t xml:space="preserve">"Hepcidin-25, enzyme-linked immunosorbent assay (elisa), serum or plasma"                                                                     </t>
  </si>
  <si>
    <t xml:space="preserve">"Fetal aneuploidy short tandem?repeat comparative analysis, fetal dna from produ                                                               </t>
  </si>
  <si>
    <t xml:space="preserve">"Reproductive medicine (endometrial receptivity analysis), rna gene expression p                                                               </t>
  </si>
  <si>
    <t xml:space="preserve">"Reproductive medicine (preimplantation genetic assessment), analysis of 24 chro                                                               </t>
  </si>
  <si>
    <t xml:space="preserve">"Andrology (infertility), sperm-capacitation assessment of ganglioside gm1 distr                                                               </t>
  </si>
  <si>
    <t xml:space="preserve">"Trimethylamine/trimethylamine n-oxide (tma/tmao) profile, tandem mass spectrome                                                               </t>
  </si>
  <si>
    <t xml:space="preserve">"Very long chain acyl-coenzyme a (coa) dehydrogenase (vlcad), leukocyte enzyme a                                                               </t>
  </si>
  <si>
    <t xml:space="preserve">"Autoimmune (psoriasis), mrna, nextgeneration sequencing, gene expression profil                                                               </t>
  </si>
  <si>
    <t xml:space="preserve">"Nephrology (chronic kidney disease), nuclear magnetic resonance spectroscopy me                                                               </t>
  </si>
  <si>
    <t xml:space="preserve">"Rare diseases (constitutional/heritable disorders), identification of copy numb                                                               </t>
  </si>
  <si>
    <t xml:space="preserve">"Oncology (colorectal cancer), image analysis with artificial intelligence asses                                                               </t>
  </si>
  <si>
    <t xml:space="preserve">"Oncology (solid tumor), gene expression profiling by real-time rt-pcr of 7 gene                                                               </t>
  </si>
  <si>
    <t xml:space="preserve">"Neurology (autism spectrum disorder Ýasd¨), quantitative measurements of 16                                                                   </t>
  </si>
  <si>
    <t xml:space="preserve">"Rare constitutional and other heritable disorders, whole genome and mitochondri                                                               </t>
  </si>
  <si>
    <t xml:space="preserve">"Unexplained constitutional or other heritable disorders or syndromes, tissuespe                                                               </t>
  </si>
  <si>
    <t xml:space="preserve">"Rare constitutional and other heritable disorders, identification of copy numbe                                                               </t>
  </si>
  <si>
    <t xml:space="preserve">"Hematology (atypical hemolytic uremic syndrome Ýahus¨), genomic sequence analys                                                               </t>
  </si>
  <si>
    <t xml:space="preserve">"Hematology (autosomal dominant congenital thrombocytopenia), genomic sequence a                                                               </t>
  </si>
  <si>
    <t xml:space="preserve">"Hematology (congenital coagulation disorders), genomic sequence analysis of 20                                                                </t>
  </si>
  <si>
    <t xml:space="preserve">"Hematology (congenital neutropenia), genomic sequence analysis of 23 genes, blo                                                               </t>
  </si>
  <si>
    <t xml:space="preserve">"Hematology (genetic bleeding disorders), genomic sequence analysis of 51 genes,                                                               </t>
  </si>
  <si>
    <t xml:space="preserve">"Hematology (genetic hyperfibrinolysis, delayed bleeding), genomic sequence anal                                                               </t>
  </si>
  <si>
    <t xml:space="preserve">"Hematology (genetic platelet disorders), genomic sequence analysis of 43 genes,                                                               </t>
  </si>
  <si>
    <t xml:space="preserve">"Hematology (heparin-induced thrombocytopenia), platelet antibody reactivity by                                                                </t>
  </si>
  <si>
    <t xml:space="preserve">"Hematology (inherited thrombocytopenia), genomic sequence analysis of 23 genes,                                                               </t>
  </si>
  <si>
    <t xml:space="preserve">"Hematology (genetic platelet function disorder), genomic sequence analysis of 3                                                               </t>
  </si>
  <si>
    <t xml:space="preserve">"Hematology (genetic thrombosis), genomic sequence analysis of 12 genes, blood,                                                                </t>
  </si>
  <si>
    <t xml:space="preserve">"Hematology (von willebrand disease Ývwd¨), von willebrand factor (vwf) and coll                                                               </t>
  </si>
  <si>
    <t xml:space="preserve">"Hematology (von willebrand disease Ývwd¨), von willebrand propeptide, enzyme-li                                                               </t>
  </si>
  <si>
    <t xml:space="preserve">"Red blood cell antigen typing, dna, genotyping of 12 blood group system genes t                                                               </t>
  </si>
  <si>
    <t xml:space="preserve">"Von willebrand factor (vwf), type 2b, platelet-binding evaluation, radioimmunoa                                                               </t>
  </si>
  <si>
    <t xml:space="preserve">"Von willebrand factor (vwf), type 2n, factor viii and vwf binding evaluation, e                                                               </t>
  </si>
  <si>
    <t xml:space="preserve">"Oncology, response to radiation, cell-free dna, quantitative branched chain dna                                                               </t>
  </si>
  <si>
    <t xml:space="preserve">"Cep72 (centrosomal protein, 72-kda), nudt15 (nudix hydrolase 15) and tpmt (thio                                                               </t>
  </si>
  <si>
    <t xml:space="preserve">"Oncology (thyroid), dna and mrna, next-generation sequencing analysis of 112 ge                                                               </t>
  </si>
  <si>
    <t xml:space="preserve">"Oncology (lung), mrna, quantitative pcr analysis of 11 genes (bag1, brca1, cdc6                                                               </t>
  </si>
  <si>
    <t xml:space="preserve">"Neurology (alzheimer disease), mrna, gene expression profiling by rna sequencin                                                               </t>
  </si>
  <si>
    <t xml:space="preserve">"Pain management, mrna, gene expression profiling by rna sequencing of 36 genes,                                                               </t>
  </si>
  <si>
    <t xml:space="preserve">"Psychiatry (mood disorders), mrna, gene expression profiling by rna sequencing                                                                </t>
  </si>
  <si>
    <t xml:space="preserve">"Psychiatry (stress disorders), mrna, gene expression profiling by rna sequencin                                                               </t>
  </si>
  <si>
    <t xml:space="preserve">"Psychiatry (suicidal ideation), mrna, gene expression profiling by rna sequenci                                                               </t>
  </si>
  <si>
    <t xml:space="preserve">"Longevity and mortality risk, mrna, gene expression profiling by rna sequencing                                                               </t>
  </si>
  <si>
    <t xml:space="preserve">"Oncology (breast ductal carcinoma in situ), protein expression profiling by imm                                                               </t>
  </si>
  <si>
    <t xml:space="preserve">"Oncology (oral and/or oropharyngeal cancer), gene expression profiling by rna s                                                               </t>
  </si>
  <si>
    <t xml:space="preserve">"Oncology (pan tumor), whole genome sequencing of paired malignant and normal dn                                                               </t>
  </si>
  <si>
    <t xml:space="preserve">"Oncology (pan tumor), whole transcriptome sequencing of paired malignant and no                                                               </t>
  </si>
  <si>
    <t xml:space="preserve">"Oncology (pan tumor), whole genome optical genome mapping of paired malignant a                                                               </t>
  </si>
  <si>
    <t xml:space="preserve">"Oncology (pan tumor), whole genome sequencing and optical genome mapping of pai                                                               </t>
  </si>
  <si>
    <t xml:space="preserve">"Infectious agent detection by nucleic acid (dna or rna), bartonella henselae an                                                               </t>
  </si>
  <si>
    <t xml:space="preserve">"Hematology, red blood cell (rbc) adhesion to endothelial/subendothelial adhesio                                                               </t>
  </si>
  <si>
    <t xml:space="preserve">"Hematology, red blood cell (rbc) functionality and deformity as a function of s                                                               </t>
  </si>
  <si>
    <t xml:space="preserve">Oncology (minimal residual disease Ýmrd¨), next-generation targeted sequencing a                                                                </t>
  </si>
  <si>
    <t xml:space="preserve">Cardiology (coronary artery disease Ýcad¨), analysis of 3 proteins (high sensiti                                                                </t>
  </si>
  <si>
    <t xml:space="preserve">Cardiology (cardiovascular disease), analysis of 4 proteins (nt-probnp, osteopon                                                                </t>
  </si>
  <si>
    <t xml:space="preserve">Pediatrics (vasculitis, kawasaki disease Ýkd¨), analysis of 3 biomarkers (nt-pro                                                                </t>
  </si>
  <si>
    <t xml:space="preserve">Infectious disease (bacterial), quantitative antimicrobial susceptibility report                                                                </t>
  </si>
  <si>
    <t xml:space="preserve">Autoimmune diseases (eg, systemic lupus erythematosus Ýsle¨), analysis of 8 igg                                                                 </t>
  </si>
  <si>
    <t xml:space="preserve">Oncology (pancreas), dna and mrna next-generation sequencing analysis of 74 gene                                                                </t>
  </si>
  <si>
    <t xml:space="preserve">Oncology (cutaneous melanoma), mrna gene expression profiling by rt-pcr of 35 ge                                                                </t>
  </si>
  <si>
    <t xml:space="preserve">Oncology (cutaneous squamous cell carcinoma), mrna gene expression profiling by                                                                 </t>
  </si>
  <si>
    <t xml:space="preserve">Borrelia burgdorferi (lyme disease), ospa protein evaluation, urine                                                                             </t>
  </si>
  <si>
    <t xml:space="preserve">Oncology (lung cancer), four-probe fish (3q29, 3p22.1, 10q22.3, 10cen) assay, wh                                                                </t>
  </si>
  <si>
    <t xml:space="preserve">Pediatrics (congenital epigenetic disorders), whole genome methylation analysis                                                                 </t>
  </si>
  <si>
    <t xml:space="preserve">Nephrology (renal transplant), rna expression by select transcriptome sequencing                                                                </t>
  </si>
  <si>
    <t xml:space="preserve">Infectious agent detection by nucleic acid (dna or rna), genitourinary pathogens                                                                </t>
  </si>
  <si>
    <t xml:space="preserve">Neurology (autism spectrum disorder Ýasd¨), quantitative measurements of 14 acyl                                                                </t>
  </si>
  <si>
    <t xml:space="preserve">Infectious agent detection by nucleic acid (dna and rna), central nervous system                                                                </t>
  </si>
  <si>
    <t xml:space="preserve">Oncology (ovarian), spheroid cell culture, 4-drug panel (carboplatin, doxorubici                                                                </t>
  </si>
  <si>
    <t xml:space="preserve">Oncology (ovarian), spheroid cell culture, poly (adp-ribose) polymerase (parp) i                                                                </t>
  </si>
  <si>
    <t xml:space="preserve">Targeted genomic sequence analysis panel, solid organ neoplasm, cell-free circul                                                                </t>
  </si>
  <si>
    <t xml:space="preserve">Fetal aneuploidy (trisomy 13, 18, and 21), dna sequence analysis of selected reg                                                                </t>
  </si>
  <si>
    <t xml:space="preserve">Drug assay, definitive, 120 or more drugs and metabolites, urine, quantitative l                                                                </t>
  </si>
  <si>
    <t xml:space="preserve">Oncology (neoplasia), exome and transcriptome sequence analysis for sequence var                                                                </t>
  </si>
  <si>
    <t xml:space="preserve">Infectious agent detection by nucleic acid (dna or rna), vaginal pathogen panel,                                                                </t>
  </si>
  <si>
    <t xml:space="preserve">Oncology (hematolymphoid neoplasia), optical genome mapping for copy number alte                                                                </t>
  </si>
  <si>
    <t xml:space="preserve">Oncology (pan-tumor), genetic profiling of 8 dna-regulatory (epigenetic) markers                                                                </t>
  </si>
  <si>
    <t xml:space="preserve">Oncology (liver), surveillance for hepatocellular carcinoma (hcc) in highrisk pa                                                                </t>
  </si>
  <si>
    <t xml:space="preserve">Oncology (solid organ), targeted genomic sequence analysis, formalin-fixed paraf                                                                </t>
  </si>
  <si>
    <t xml:space="preserve">Rare diseases (constitutional/heritable disorders), whole genome sequence analys                                                                </t>
  </si>
  <si>
    <t xml:space="preserve">Oncology (plasma cell disorders and myeloma), circulating plasma cell immunologi                                                                </t>
  </si>
  <si>
    <t xml:space="preserve">Oncology (solid tumor), circulating tumor cell selection, identification, morpho                                                                </t>
  </si>
  <si>
    <t xml:space="preserve">Oncology (prostate), mrna expression profiling of hoxc6 and dlx1, reverse transc                                                                </t>
  </si>
  <si>
    <t xml:space="preserve">Oncology (pan-cancer), analysis of minimal residual disease (mrd) from plasma, w                                                                </t>
  </si>
  <si>
    <t xml:space="preserve">Fetal aneuploidy dna sequencing comparative analysis, fetal dna from products of                                                                </t>
  </si>
  <si>
    <t xml:space="preserve">Oncology (pancreatic cancer), multiplex immunoassay of c5, c4, cystatin c, facto                                                                </t>
  </si>
  <si>
    <t xml:space="preserve">Oncology (prostate), exosome-based analysis of 442 small noncoding rnas (sncrnas                                                                </t>
  </si>
  <si>
    <t xml:space="preserve">Hepatology (nonalcoholic fatty liver disease Ýnafld¨), semiquantitative evaluati                                                                </t>
  </si>
  <si>
    <t xml:space="preserve">Psychiatry (eg, depression, anxiety, attention deficit hyperactivity disorder Ýa                                                                </t>
  </si>
  <si>
    <t xml:space="preserve">Beta amyloid, a 40 and a 42 by liquid chromatography with tandem mass spectromet                                                                </t>
  </si>
  <si>
    <t xml:space="preserve">Drug metabolism or processing (multiple conditions), whole blood or buccal speci                                                                </t>
  </si>
  <si>
    <t xml:space="preserve">Infectious disease (bacterial or viral), biochemical assays, tumor necrosis fact                                                                </t>
  </si>
  <si>
    <t xml:space="preserve">Infectious disease (bacterial vaginosis and vaginitis), multiplex amplified prob                                                                </t>
  </si>
  <si>
    <t xml:space="preserve">Infectious agent detection by nucleic acid (dna), chlamydia trachomatis and neis                                                                </t>
  </si>
  <si>
    <t xml:space="preserve">Human papilloma virus (hpv), high-risk types (ie, 16, 18, 31, 33, 45, 52 and 58)                                                                </t>
  </si>
  <si>
    <t xml:space="preserve">Apol1 (apolipoprotein l1) (eg, chronic kidney disease), risk variants (g1, g2)                                                                  </t>
  </si>
  <si>
    <t xml:space="preserve">Oncology (oropharyngeal), evaluation of 17 dna biomarkers using droplet digital                                                                 </t>
  </si>
  <si>
    <t xml:space="preserve">Oncology (melanoma), artificial intelligence (ai)-enabled quantitative mass spec                                                                </t>
  </si>
  <si>
    <t xml:space="preserve">Neurology (mild cognitive impairment), analysis of b-amyloid 1-42 and 1-40, chem                                                                </t>
  </si>
  <si>
    <t xml:space="preserve">Oncology (prostate cancer), analysis of all prostate-specific antigen (psa) stru                                                                </t>
  </si>
  <si>
    <t xml:space="preserve">Oncology (lung), enzyme-linked immunosorbent assay (elisa) of 7 autoantibodies (                                                                </t>
  </si>
  <si>
    <t xml:space="preserve">Neurofilament light chain, digital immunoassay, plasma, quantitative                                                                            </t>
  </si>
  <si>
    <t xml:space="preserve">Oncology (papillary thyroid cancer), gene-expression profiling via targeted hybr                                                                </t>
  </si>
  <si>
    <t xml:space="preserve">Oncology (urothelial), mrna, geneexpression profiling by real-time quantitative                                                                 </t>
  </si>
  <si>
    <t xml:space="preserve">Oncology (hematolymphoid neoplasm), genomic sequence analysis using multiplex (p                                                                </t>
  </si>
  <si>
    <t xml:space="preserve">Oncology (bladder), analysis of 10 protein biomarkers (a1at, ang, apoe, ca9, il8                                                                </t>
  </si>
  <si>
    <t xml:space="preserve">Oncology (colorectal cancer), evaluation for mutations of apc, braf, ctnnb1, kra                                                                </t>
  </si>
  <si>
    <t xml:space="preserve">Infectious agent detection by nucleic acid (dna and rna), gastrointestinal patho                                                                </t>
  </si>
  <si>
    <t xml:space="preserve">Infectious agent detection by nucleic acid (dna and rna), surgical wound pathoge                                                                </t>
  </si>
  <si>
    <t xml:space="preserve">Infectious agent detection by nucleic acid (dna or rna), genitourinary pathogen,                                                                </t>
  </si>
  <si>
    <t xml:space="preserve">Infectious disease (genitourinary pathogens), antibiotic-resistance gene detecti                                                                </t>
  </si>
  <si>
    <t xml:space="preserve">Infectious agent detection by nucleic acid (dna and rna), respiratory tract infe                                                                </t>
  </si>
  <si>
    <t xml:space="preserve">Oncology (ovarian), biochemical assays of 7 proteins (follicle stimulating hormo                                                                </t>
  </si>
  <si>
    <t xml:space="preserve">Oncology (prostate cancer), image analysis of at least 128 histologic features a                                                                </t>
  </si>
  <si>
    <t xml:space="preserve">Cardiovascular disease, quantification of advanced serum or plasma lipoprotein p                                                                </t>
  </si>
  <si>
    <t xml:space="preserve">Rfc1 (replication factor c subunit 1), repeat expansion variant analysis by trad                                                                </t>
  </si>
  <si>
    <t xml:space="preserve">Targeted genomic sequence analysis panel, solid organ neoplasm, dna (523 genes)                                                                 </t>
  </si>
  <si>
    <t xml:space="preserve">Drug metabolism (adverse drug reactions and drug response), targeted sequence an                                                                </t>
  </si>
  <si>
    <t xml:space="preserve">Maple syrup urine disease monitoring by patient-collected blood card sample, qua                                                                </t>
  </si>
  <si>
    <t xml:space="preserve">Hyperphenylalaninemia monitoring by patient-collected blood card sample, quantit                                                                </t>
  </si>
  <si>
    <t xml:space="preserve">Tyrosinemia type i monitoring by patient-collected blood card sample, quantitati                                                                </t>
  </si>
  <si>
    <t xml:space="preserve">Nephrology (chronic kidney disease), carboxymethyllysine, methylglyoxal hydroimi                                                                </t>
  </si>
  <si>
    <t xml:space="preserve">Nephrology (chronic kidney disease), apolipoprotein a4 (apoa4), cd5 antigen-like                                                                </t>
  </si>
  <si>
    <t xml:space="preserve">Gastroenterology (barrett's esophagus), p16, runx3, hpp1, and fbn1 methylation a                                                                </t>
  </si>
  <si>
    <t xml:space="preserve">Tissue evaluation for proteins to report risk of skin cancer progression                                                                        </t>
  </si>
  <si>
    <t xml:space="preserve">Next-generation sequencing in plasma of 37 cancer-related genes, with report for                                                                </t>
  </si>
  <si>
    <t xml:space="preserve">Reverse transcription polymerase chain reaction (RT-qPCR) testing of blood for p                                                                </t>
  </si>
  <si>
    <t xml:space="preserve">Immunoassay of serum for proteins, reported as a risk score for preeclampsia                                                                    </t>
  </si>
  <si>
    <t xml:space="preserve">DNA and RNA next-generation sequencing of tissue for 437 genes with algorithm qu                                                                </t>
  </si>
  <si>
    <t xml:space="preserve">Evaluation of gene-drug interactions for 16 genes reported as impact of gene-dru                                                                </t>
  </si>
  <si>
    <t xml:space="preserve">Detection of protein by seed amplification assay for neurological disorders                                                                     </t>
  </si>
  <si>
    <t xml:space="preserve">Testing of plasma or serum for 16 perfluoroalkyl substances (PFAS) compounds                                                                    </t>
  </si>
  <si>
    <t xml:space="preserve">Multi-omics testing of plasma reported as risk of malignancy for lung nodules in                                                                </t>
  </si>
  <si>
    <t xml:space="preserve">Microarray testing of embryonic tissue for 300000 DNA single-nucleotide polymorp                                                                </t>
  </si>
  <si>
    <t xml:space="preserve">Cell-free DNA testing in plasma evaluating of at least 109 genes in non-small ce                                                                </t>
  </si>
  <si>
    <t xml:space="preserve">DNA methylation analysis using polymerase chain reaction testing of tissue for g                                                                </t>
  </si>
  <si>
    <t xml:space="preserve">Enzyme-linked assay detection in serum of IgG-binding antibody and blocking auto                                                                </t>
  </si>
  <si>
    <t xml:space="preserve">Next-generation sequencing of DNA for 145 genes reported as carrier positive or                                                                 </t>
  </si>
  <si>
    <t xml:space="preserve">Targeted variant genotyping using blood, saliva, or buccal swab of 9 genes for c                                                                </t>
  </si>
  <si>
    <t xml:space="preserve">Infectious agent (sexually transmitted infection), chlamydia trachomatis, neisse                                                                </t>
  </si>
  <si>
    <t xml:space="preserve">Oncology (urothelial), mrna expression profiling by real-time quantitative pcr o                                                                </t>
  </si>
  <si>
    <t xml:space="preserve">Oncology (colorectal) screening, quantitative real-time target and signal amplif                                                                </t>
  </si>
  <si>
    <t xml:space="preserve">Oncology (pan-solid tumor), analysis of dna biomarker response to anti-cancer th                                                                </t>
  </si>
  <si>
    <t xml:space="preserve">Psychiatry (eg, depression, anxiety), genomic analysis panel, including variant                                                                 </t>
  </si>
  <si>
    <t xml:space="preserve">Oncology (prostate), exosome-based analysis of 53 small noncoding rnas (sncrnas)                                                                </t>
  </si>
  <si>
    <t xml:space="preserve">Genome (eg, unexplained constitutional or heritable disorder or syndrome), rapid                                                                </t>
  </si>
  <si>
    <t xml:space="preserve">Genome (eg, unexplained constitutional or heritable disorder or syndrome), ultra                                                                </t>
  </si>
  <si>
    <t xml:space="preserve">Monocyte distribution width, whole blood (list separately in addition to code fo                                                                </t>
  </si>
  <si>
    <t xml:space="preserve">Oncology (breast), targeted hybrid-capture genomic sequence analysis panel, circ                                                                </t>
  </si>
  <si>
    <t xml:space="preserve">Human papillomavirus (hpv), oropharyngeal swab, 14 high-risk types (ie, 16, 18,                                                                 </t>
  </si>
  <si>
    <t xml:space="preserve">Gastroenterology, malabsorption evaluation of alpha-1-antitrypsin, calprotectin,                                                                </t>
  </si>
  <si>
    <t xml:space="preserve">Glycine receptor alpha1 igg, serum or cerebrospinal fluid (csf), live cell-bindi                                                                </t>
  </si>
  <si>
    <t xml:space="preserve">Kelch-like protein 11 (klhl11) antibody, serum or cerebrospinal fluid (csf), cel                                                                </t>
  </si>
  <si>
    <t xml:space="preserve">Oncology (prostate), 5 dna regulatory markers by quantitative pcr, whole blood,                                                                 </t>
  </si>
  <si>
    <t xml:space="preserve">Drug metabolism (adverse drug reactions and drug response), genomic analysis pan                                                                </t>
  </si>
  <si>
    <t xml:space="preserve">Oncology, chemotherapeutic drug cytotoxicity assay of cancer stem cells (cscs),                                                                 </t>
  </si>
  <si>
    <t xml:space="preserve">Oncology (lung), plasma analysis of 388 proteins, using aptamer-based proteomics                                                                </t>
  </si>
  <si>
    <t xml:space="preserve">Psychiatry (anxiety disorders), mrna, gene expression profiling by rna sequencin                                                                </t>
  </si>
  <si>
    <t xml:space="preserve">Drug metabolism (adverse drug reactions and drug response), buccal specimen, gen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</si>
  <si>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</si>
  <si>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GRAFT, LAPAROSCOPIC APPROACH                                                                 </t>
  </si>
  <si>
    <t xml:space="preserve">UREA BREATH TEST, C-14 (ISOTOPIC); ACQUISITION FOR ANALYSIS                                                                                     </t>
  </si>
  <si>
    <t xml:space="preserve">UREA BREATH TEST, C-14; ANALYSIS                                                                                                                </t>
  </si>
  <si>
    <t xml:space="preserve">BASIC METABOLIC PANEL (CALCIUM, IONIZED)                                                                                                        </t>
  </si>
  <si>
    <t xml:space="preserve">BASIC METABOLIC PANEL (CALCIUM, TOTAL)                                                                                                          </t>
  </si>
  <si>
    <t xml:space="preserve">BASIC METABOLIC PANEL (CALCIUM,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</si>
  <si>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</si>
  <si>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</si>
  <si>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</si>
  <si>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</si>
  <si>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</si>
  <si>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</si>
  <si>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82465,83718,84478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</si>
  <si>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</si>
  <si>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</si>
  <si>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</si>
  <si>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</si>
  <si>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CBC, DIFFERENTIAL WBC COUNT, HEPATITIS B, HIV, RUBELLA, SYPHILIS, ANTIBODY SCREENING, RBC,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</si>
  <si>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</si>
  <si>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</si>
  <si>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</si>
  <si>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</si>
  <si>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</si>
  <si>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</si>
  <si>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</si>
  <si>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CYCLOSPORINE,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</si>
  <si>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</si>
  <si>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"Measurement of carbamazepine-10,11-epoxide"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</si>
  <si>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</si>
  <si>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</si>
  <si>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</si>
  <si>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</si>
  <si>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</si>
  <si>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</si>
  <si>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</si>
  <si>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</si>
  <si>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</si>
  <si>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</si>
  <si>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</si>
  <si>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</si>
  <si>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</si>
  <si>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</si>
  <si>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</si>
  <si>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</si>
  <si>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</si>
  <si>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</si>
  <si>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</si>
  <si>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</si>
  <si>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</si>
  <si>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PHENYTOIN,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</si>
  <si>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</si>
  <si>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</si>
  <si>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</si>
  <si>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</si>
  <si>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(EG,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</si>
  <si>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</si>
  <si>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</si>
  <si>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</si>
  <si>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</si>
  <si>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</si>
  <si>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</si>
  <si>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</si>
  <si>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</si>
  <si>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</si>
  <si>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</si>
  <si>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</si>
  <si>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</si>
  <si>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</si>
  <si>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</si>
  <si>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</si>
  <si>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</si>
  <si>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</si>
  <si>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DRUG,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</si>
  <si>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</si>
  <si>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>DRUG TEST(S), PRESUMPTIVE, ANY NUMBER OF DRUG CLASSES, ANY NUMBER OF DEVICES; CAPABLE OF BEING READ BY DIRECT OPTICAL OBSERVATION ONLY(DIPSTICK,</t>
  </si>
  <si>
    <t xml:space="preserve">ACTH STIMULATION PANEL; FOR ADRENAL INSUFFICIENCY. THIS PANEL MUST INC. CORTISOL (82533X2)                                                      </t>
  </si>
  <si>
    <t xml:space="preserve">ACTH SIMULATION PANEL,FOR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</si>
  <si>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</si>
  <si>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</si>
  <si>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</si>
  <si>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</si>
  <si>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</si>
  <si>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</si>
  <si>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(EG, CAPTOPRIL)                                                                                              </t>
  </si>
  <si>
    <t xml:space="preserve">PERIPHERAL VEIN RENIN STIMULATION PANEL (EG,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</si>
  <si>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</si>
  <si>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PANEL,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</si>
  <si>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</si>
  <si>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</si>
  <si>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</si>
  <si>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(EG, ARGININE INFUSION,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</si>
  <si>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</si>
  <si>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</si>
  <si>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</si>
  <si>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</si>
  <si>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</si>
  <si>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</si>
  <si>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</si>
  <si>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problem, 5-20 minutes"                                                                          </t>
  </si>
  <si>
    <t xml:space="preserve">"Pathology clinical consultation for moderately complex clinical problem, 21-40                                                                </t>
  </si>
  <si>
    <t xml:space="preserve">"Pathology clinical consultation for complex clinical problem, 41-60 minutes"                                                                 </t>
  </si>
  <si>
    <t xml:space="preserve">"Pathology clinical consultation, additional 30 minutes"                                                                                      </t>
  </si>
  <si>
    <t xml:space="preserve">UA/DIP STICK OR TAB REAG FOR BILI; GLUC, HGB, KETS, LEUKS, NITS, PH, PROT, SGR...NON AUTOMATED W/MICROSCOPY......  PPM LEVEL TEST               </t>
  </si>
  <si>
    <t xml:space="preserve">UA/DIPSTICK OR TAB REAG.....AUTOMATED W/MICROSCOPY KETONES, LEUKOCYTES, NITRITE, PH, PROTEIN, SP.GRAV, UROBIL, ANY #; AUTO                      </t>
  </si>
  <si>
    <t xml:space="preserve">WITHOUT MICROSCOPY, NON-AUTOMATED. CLIA WAVED IF SCREENING URINE TO MONITOR/DIAGNOSIS VARIOUS DISEASES                                          </t>
  </si>
  <si>
    <t xml:space="preserve">........WITHOUT MICROSCOPY, AUTOMATED                                                                                                           </t>
  </si>
  <si>
    <t xml:space="preserve">URINALYSIS, BY DIP STICK OR TABLET REAGENT FOR BILIRUBIN, GLUCOSE, PH,  KETONES, LEUKOCYTES,ETC.; AUTOMATED WITHOUT MICROSCOPY   CLIA WAIVED    </t>
  </si>
  <si>
    <t xml:space="preserve">URINALYSIS; QUALITATIVE OR SEMIQUANTITATIVE, EXCEPT IMMUNOASSAYS. DO NOT PAY IF 81000 IS ALSO BILLED ON SAME CLAIM.                             </t>
  </si>
  <si>
    <t xml:space="preserve">URINALYSIS; BACTERIURIA SCREEN,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</si>
  <si>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</si>
  <si>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</si>
  <si>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TEST, BY VISUAL COLOR COMPARISON METHODS CLIA WAVED FOR DIAGNOSIS OF PREGNANCY                                                  </t>
  </si>
  <si>
    <t xml:space="preserve">VOLUME MEASUREMENT FOR TIMED COLLECTION,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</si>
  <si>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</si>
  <si>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</si>
  <si>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</si>
  <si>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</si>
  <si>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</si>
  <si>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</si>
  <si>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</si>
  <si>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</si>
  <si>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</si>
  <si>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</si>
  <si>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ÝNADP+¨, SOLUBLE) FOR COMMONVARIANTS                                                                  </t>
  </si>
  <si>
    <t xml:space="preserve">GENE ANALYSIS (ISOCITRATE DEHYDROGENASE 2 ÝNADP+¨,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</si>
  <si>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</si>
  <si>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</si>
  <si>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</si>
  <si>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</si>
  <si>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</si>
  <si>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</si>
  <si>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</si>
  <si>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(t(11;14))) translocation analysis                                                                                     </t>
  </si>
  <si>
    <t xml:space="preserve">GENE ANALYSIS (ABL PROTO-ONCOGENE 1,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</si>
  <si>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</si>
  <si>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</si>
  <si>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</si>
  <si>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</si>
  <si>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</si>
  <si>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1, TRANSCRIPTIONAL REGULATOR)FULL SEQUENCE ANALYSIS                                                    </t>
  </si>
  <si>
    <t xml:space="preserve">GENE ANALYSIS (ADDITIONAL SEX COMBS LIKE 1, TRANSCRIPTIONAL REQULATOR)FULL SEQUENCE ANALYSIS                                                    </t>
  </si>
  <si>
    <t xml:space="preserve">GENE ANALYSIS (ADDITIONAL SEX COMBS LIKE 1, TRANSCRIPTIONAL REGULATOR)TARGETED SEQUENCE ANALYSIS                                                </t>
  </si>
  <si>
    <t xml:space="preserve">GENE ANALYSIS (ADDITIONAL SEX COMBS LIKE 1, TRANSCRIPTIONAL REGULATOR)TARGEDTED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</si>
  <si>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</si>
  <si>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</si>
  <si>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</si>
  <si>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</si>
  <si>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</si>
  <si>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ÝNON-PROTEIN CODING¨) FOR ABNORMAL      ALLELES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</si>
  <si>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</si>
  <si>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FOR ABNORMAL     ALLELES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</si>
  <si>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</si>
  <si>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</si>
  <si>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</si>
  <si>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</si>
  <si>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</si>
  <si>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</si>
  <si>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</si>
  <si>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1, 2, and 3) translocation                                                               </t>
  </si>
  <si>
    <t xml:space="preserve">ASPA (ASPARTOACYLASE) (EG, CANAVAN DISEASE) GENE ANALYSIS, COMMON VARIANTS (EG,                                                                 </t>
  </si>
  <si>
    <t xml:space="preserve">GENE ANALYSIS (ADENOMATOUS POLYPOSIS COLI), FULL GENE SEQUENCE                                                                                  </t>
  </si>
  <si>
    <t xml:space="preserve">GENE ANALYSIS (ADENOMATOUS POLYPOSIS COLI), KNOWN FAMILIAL VARIANTS                                                                             </t>
  </si>
  <si>
    <t xml:space="preserve">GENE ANALYSIS (ADENOMATOUS POLYPOSIS COLI),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</si>
  <si>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</si>
  <si>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E1, BETA POLYPEPTIDE) (EG, MAPLE SYRUP URINE DISEASE) GENE ANALYSIS, COMMON VARIANTS (EG, R183P, </t>
  </si>
  <si>
    <t xml:space="preserve">DOCUMENTATION REQUIRED                                                                                                                          </t>
  </si>
  <si>
    <t xml:space="preserve">BCR/ABL1 (T(9;22)) (EG, CHRONIC MYELOGENOUS LEUKEMIA) TRANSLOCATION ANALYSIS; MAJOR BREAKPOINT,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</si>
  <si>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</si>
  <si>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(EG, CHRONIC MYELOGENOUS LEUKEMIA) TRANSLOCATION ANALYSIS; MINOR BREAKPOINT, QUALITATIVE OR QUANTITATIVE                     </t>
  </si>
  <si>
    <t xml:space="preserve">BCR/ABL1 (T(9;22)) (EG, CHRONIC MYELOGENOUS LEUKEMIA) TRANSLOCATION ANALYSIS; OTHER BREAKPOINT, QUALITATIVE OR QUANTITATIVE                     </t>
  </si>
  <si>
    <t xml:space="preserve">BLM (BLOOM SYNDROME, RECQ HELICASE-LIKE) (EG, BLOOM SYNDROME) GENE ANALYSIS,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</si>
  <si>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</si>
  <si>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(EG, COLON CANCER), GENE  ANALYSIS, V600E VARIANT                                         </t>
  </si>
  <si>
    <t xml:space="preserve">BRCA1, BRCA2 (BREAST CANCER 1 AND 2) (EG, HEREDITARY BREAST AND OVARIAN CANCER) GENE ANALYSIS; 185DELAG, 5385INSC, 6174DELT VARIANTS            </t>
  </si>
  <si>
    <t xml:space="preserve">LIMIT ONE PER LIFETIME; DOCUMENTATION REQUIRED-MUST HAVE HISTORYOF BREAST, OVARIAN, OR FALLOPIAN TUBE CANCER.                                   </t>
  </si>
  <si>
    <t xml:space="preserve">BRCA1 (BREAST CANCER 1) (EG,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</si>
  <si>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</si>
  <si>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(EG, HEREDITARY BREAST AND OVARIAN CANCER) GENE ANALYSIS; KNOWN FAMILIAL VARIANT                                        </t>
  </si>
  <si>
    <t xml:space="preserve">LIMIT ONE PER LIFETIME; DOCUMENTATION REQUIRED; MUST HAVE HX OF REAST,OVARIAN,OR FALLOPIAN TUBE CANCER                                          </t>
  </si>
  <si>
    <t xml:space="preserve">GENE ANALYSIS (CCAAT/ENHANCER BINDING PROTEIN ÝC/EBP¨, ALPHA) FULL GENE SEQUENCE                                                                </t>
  </si>
  <si>
    <t xml:space="preserve">GENE ANALYSIS (CALRETICULIN),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</si>
  <si>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</si>
  <si>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(EG, CYSTICFIBROSIS) GENE ANALYSIS; COMMON VARIANTS (EG, ACMG/ACOG GUIDELIN          </t>
  </si>
  <si>
    <t xml:space="preserve">CFTR (CYSTIC FIBROSIS TRANSMEMBRANE CONDUCTANCE REGULATOR) (EG, CYSTICFIBROSIS) GENE ANALYSIS; KNOWN FAMILIAL VARIANTS                          </t>
  </si>
  <si>
    <t xml:space="preserve">CFTR (CYSTIC FIBROSIS TRANSMEMBRANE CONDUCTANCE REGULATOR) (EG, CYSTICFIBROSIS) GENE ANALYSIS; DUPLICATION/DELETION VARIANTS                    </t>
  </si>
  <si>
    <t xml:space="preserve">CFTR (CYSTIC FIBROSIS TRANSMEMBRANE CONDUCTANCE REGULATOR) (EG, CYSTICFIBROSIS) GENE ANALYSIS; FULL GENE SEQUENCE                               </t>
  </si>
  <si>
    <t xml:space="preserve">CFTR (CYSTIC FIBROSIS TRANSMEMBRANE CONDUCTANCE REGULATOR) (EG, CYSTICFIBROSIS) GENE ANALYSIS; INTRON 8 POLY-T ANALYSIS (EG, MALE INFE          </t>
  </si>
  <si>
    <t xml:space="preserve">CYP2C19 (CYTOCHROME P450, FAMILY 2, SUBFAMILY C, POLYPEPTIDE 19) (EG, DRUG METABOLISM), GENE ANALYSIS, COMMON VARIANTS (EG, *2, *3, *4, *8      </t>
  </si>
  <si>
    <t xml:space="preserve">CYP2D6 (CYTOCHROME P450, FAMILY 2, SUBFAMILY D, POLYPEPTIDE 6) (EG, DRUG METABOLISM), GENE ANALYSIS, COMMON VARIANTS (EG, *2, *3, *4, *5        </t>
  </si>
  <si>
    <t xml:space="preserve">CYP2C9 (CYTOCHROME P450, FAMILY 2, SUBFAMILY C, POLYPEPTIDE 9) (EG, DRUG METABOLISM), GENE ANALYSIS, COMMON VARIANTS (EG, *2, *3, *5,*6)        </t>
  </si>
  <si>
    <t>CYTOGENOMIC CONSTITUTIONAL (GENOME-WIDE) MICROARRAY ANALYSIS; INTERROGATION OF  GENOMIC REGIONS FOR COPY NUMBER VARIANTS (EG, BACTERIAL ARTIFICI</t>
  </si>
  <si>
    <t>CYTOGENOMIC CONSTITUTIONAL (GENOME-WIDE) MICROARRAY ANALYSIS; INTERROGATION OF GENOMIC REGIONS FOR COPY NUMBER AND SINGLE NUCLEOTIDE POLYMO RPHI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</si>
  <si>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</si>
  <si>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</si>
  <si>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</si>
  <si>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</si>
  <si>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</si>
  <si>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</si>
  <si>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RECEPTOR), COMMON VARIANTS                                                                               </t>
  </si>
  <si>
    <t xml:space="preserve">GENE ANALYSIS (ENHANCER OF ZESTE 2 POLYCOMB REPRESSIVE COMPLEX 2 SUBUNIT) OF    FULL SEQUENCE  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</si>
  <si>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</si>
  <si>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</si>
  <si>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(PROTHROMBIN, COAGULATION FACTOR II) (EG, HEREDITARY HYPERCOAGULABILITY) GENE ANALYSIS, 20210G&gt;A VARIANT                                     </t>
  </si>
  <si>
    <t xml:space="preserve">F5 (COAGULATION FACTOR V) (EG, HEREDITARY HYPERCOAGULABILITY) GENE ANALYSIS, LEIDEN VARIANT                                                     </t>
  </si>
  <si>
    <t xml:space="preserve">FANCC (FANCONI ANEMIA, COMPLEMENTATION GROUP C) (EG, FANCONI ANEMIA, TYPE C) GENE ANALYSIS, COMMON VARIANT (EG, IVS4+4A&gt;T)                      </t>
  </si>
  <si>
    <t xml:space="preserve">FMR1 (FRAGILE X MENTAL RETARDATION 1) (EG, FRAGILE X MENTAL RETARDATION) GENE ANALYSIS; EVALUATION TO DETECT ABNORMAL (EG,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</si>
  <si>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</si>
  <si>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(EG, ACUTE MYELOID LEUKEMIA), GENE ANALYSIS, INTERNAL TANDEM DUPLICATION (ITD) VARIANTS (IE,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</si>
  <si>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</si>
  <si>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</si>
  <si>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</si>
  <si>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</si>
  <si>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>G6PC (GLUCOSE-6-PHOSPHATASE, CATALYTIC SUBUNIT) (EG, GLYCOGEN STORAGE DISEASE,  TYPE 1A, VON GIERKE DISEASE) GENE ANALYSIS, COMMON VARIANTS (EG,</t>
  </si>
  <si>
    <t xml:space="preserve">DOCUMENTATION REQUIRD                                                                                                                           </t>
  </si>
  <si>
    <t xml:space="preserve">GBA (GLUCOSIDASE, BETA, ACID) (EG, GAUCHER DISEASE) GENE ANALYSIS, COMMON VARIANTS (EG, N370S, 84GG, L444P, IVS2+1G&gt;A)                          </t>
  </si>
  <si>
    <t xml:space="preserve">GENE ANALYSIS (GAP JUNCTION PROTEIN, BETA 2, 26KDA; CONNEXIN 26), FULLGENE SEQUENCE                                                             </t>
  </si>
  <si>
    <t xml:space="preserve">GENE ANALYSIS (GAP JUNCTION PROTEIN, BETA 2, 26KDA; CONNEXIN 26), KNOWN FAMILIAL VARIANTS                                                       </t>
  </si>
  <si>
    <t xml:space="preserve">GENE ANALYSIS (GAP JUNCTION PROTEIN, BETA 6, 0KDA, CONNEXIN 30) COMMONVARIANTS                                                                  </t>
  </si>
  <si>
    <t xml:space="preserve">HEXA (HEXOSAMINIDASE A ÝALPHA POLYPEPTIDE¨) (EG, TAY-SACHS DISEASE) GENE ANALYSIS, COMMON VARIANTS (EG, 1278INSTATC, 1421+1G&gt;C, G269S)          </t>
  </si>
  <si>
    <t xml:space="preserve">HFE (HEMOCHROMATOSIS) (EG, HEREDITARY HEMOCHROMATOSIS) GENE ANALYSIS, COMMON VARIANTS (EG, C282Y, H63D)                                         </t>
  </si>
  <si>
    <t xml:space="preserve">HBA1/HBA2 (ALPHA GLOBIN 1 AND ALPHA GLOBIN 2) (EG, ALPHA THALASSEMIA, HB BART HYDROPS FETALIS SYNDROME, HBH DISEASE), GENE ANALYSIS,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</si>
  <si>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</si>
  <si>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</si>
  <si>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B-CELLS,KINASE COMPLEX-ASSOCIATED PROTEIN) (EG, FAMILIAL DYSAUTONOMIA) GENE ANA   </t>
  </si>
  <si>
    <t>IGH@ (IMMUNOGLOBULIN HEAVY CHAIN LOCUS) (EG, LEUKEMIAS AND LYMPHOMAS, B-CELL),  GENE REARRANGEMENT ANALYSIS TO DETECT ABNORMAL CLONAL POPULATION</t>
  </si>
  <si>
    <t xml:space="preserve">IGH@ (IMMUNOGLOBULIN HEAVY CHAIN LOCUS) (EG, LEUKEMIA AND LYMPHOMA, B-CELL), VARIABLE REGION SOMATIC MUTATION ANALYSIS                          </t>
  </si>
  <si>
    <t xml:space="preserve">IGK@ (IMMUNOGLOBULIN KAPPA LIGHT CHAIN LOCUS) (EG, LEUKEMIA AND LYMPHOMA, B-CELL), GENE REARRANGEMENT ANALYSIS, EVALUATION TO DETECT ABNOR      </t>
  </si>
  <si>
    <t xml:space="preserve">COMPARATIVE ANALYSIS USING SHORT TANDEM REPEAT (STR) MARKERS; PATIENT AND COMPARATIVE SPECIMEN (EG, PRE-TRANSPLANT RECIPIENT AND DONOR GER      </t>
  </si>
  <si>
    <t xml:space="preserve">COMPARATIVE ANALYSIS USING SHORT TANDEM REPEAT (STR) MARKERS; EACH ADDITIONAL SPECIMEN (EG, ADDITIONAL CORD BLOOD DONOR, ADDITIONAL FETAL SAMP  </t>
  </si>
  <si>
    <t xml:space="preserve">CHIMERISM (ENGRAFTMENT) ANALYSIS, POST TRANSPLANTATION SPECIMEN (EG, HEMATOPOIETIC STEM CELL),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</si>
  <si>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</si>
  <si>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(EG, MYELOPROLIFERATIVE DISORDER) GENE ANALYSIS,P.VAL617PHE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</si>
  <si>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</si>
  <si>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HOMOLOG), TARGETED SEQUENCE                                                </t>
  </si>
  <si>
    <t xml:space="preserve">GENE ANALYSIS (V-KIT HARDY-ZUCKERMAN 4 FELINE SARCOMA VIRAL ONCOGENE HOMOLOG),  D816 VARIANTS                                                   </t>
  </si>
  <si>
    <t xml:space="preserve">GENE ANALYSIS (HUNTINGTON) FOR CHARACTERIZATION OF ALLELES                                                                                      </t>
  </si>
  <si>
    <t xml:space="preserve">KRAS (V-KI-RAS2 KIRSTEN RAT SARCOMA VIRAL ONCOGENE) (EG, CARCINOMA) GENE ANALYSIS, VARIANTS IN CODONS 12 AND 13                                 </t>
  </si>
  <si>
    <t xml:space="preserve">GENE ANALYSIS (KIRSTEN RAT SARCOMA VIRAL ONCOGENE HOMOLOG),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</si>
  <si>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</si>
  <si>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</si>
  <si>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</si>
  <si>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(INTERFERON,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</si>
  <si>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</si>
  <si>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</si>
  <si>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</si>
  <si>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</si>
  <si>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</si>
  <si>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</si>
  <si>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(EG, MUCOLIPIDOSIS, TYPE IV) GENE ANALYSIS, COMMON VARIANTS (EG, IVS3-2A&gt;G, DEL6.4KB)                                      </t>
  </si>
  <si>
    <t xml:space="preserve">MTHFR (5,10-METHYLENETETRAHYDROFOLATE REDUCTASE) (EG, HEREDITARY HYPERCOAGULABILITY) GENE ANALYSIS, COMMON VARIANTS (EG, 677T, 12)              </t>
  </si>
  <si>
    <t xml:space="preserve">MLH1 (MUTL HOMOLOG 1, COLON CANCER, NONPOLYPOSIS TYPE 2) (EG, HEREDITARY NON-POLYPOSIS COLORECTAL CANCER,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</si>
  <si>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</si>
  <si>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</si>
  <si>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</si>
  <si>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2, COLON CANCER, NONPOLYPOSIS TYPE 1) (EG, HEREDITARY NON-POLYPOSIS COLORECTAL CANCER,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</si>
  <si>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</si>
  <si>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ÝE. COLI¨) (EG, HEREDITARY NON-POLYPOSIS COLORECTAL CANCER, LYNCH SYNDROME) GENE ANALYSIS; FULL SEQUENCE ANALYSIS          </t>
  </si>
  <si>
    <t xml:space="preserve">MSH6 (MUTS HOMOLOG 6 ÝE. COLI¨) (EG, HEREDITARY NON-POLYPOSIS COLORECTAL CANCER, LYNCH SYNDROME) GENE ANALYSIS; KNOWN FAMILIAL VARIANTS         </t>
  </si>
  <si>
    <t xml:space="preserve">MSH6 (MUTS HOMOLOG 6 ÝE. COLI¨) (EG, HEREDITARY NON-POLYPOSIS COLORECTAL CANCER, LYNCH SYNDROME) GENE ANALYSIS; DUPLICATION/DELETION VARI       </t>
  </si>
  <si>
    <t xml:space="preserve">MICROSATELLITE INSTABILITY ANALYSIS (EG, HEREDITARY NON-POLYPOSIS COLORECTAL CANCER, LYNCH SYNDROME) OF MARKERS FOR MISMATCH REPAIR DEFICIENCE  </t>
  </si>
  <si>
    <t xml:space="preserve">MECP2 (METHYL CPG BINDING PROTEIN 2) (EG, RETT SYNDROME) GENE ANALYSIS; FULL SEQUENCE ANALYSIS                                                  </t>
  </si>
  <si>
    <t xml:space="preserve">MECP2 (METHYL CPG BINDING PROTEIN 2) (EG, RETT SYNDROME) GENE ANALYSIS; KNOWN FAMILIAL VARIANT                                                  </t>
  </si>
  <si>
    <t xml:space="preserve">MECP2 (METHYL CPG BINDING PROTEIN 2) (EG,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</si>
  <si>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</si>
  <si>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</si>
  <si>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</si>
  <si>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</si>
  <si>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</si>
  <si>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(EG, ACUTE MYELOID LEUKEMIA) GENE ANALYSIS,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</si>
  <si>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</si>
  <si>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(POLYÝA¨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</si>
  <si>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</si>
  <si>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RECEPTOR, ALPHA POLYPEPTIDE) TARGETED SEQUENCE                                                   </t>
  </si>
  <si>
    <t>PML/RARALPHA, (T(15;17)), (PROMYELOCYTIC LEUKEMIA/RETINOIC ACID RECEPTOR ALPHA) (EG, PROMYELOCYTIC LEUKEMIA) TRANSLOCATION ANALYSIS; COMMON BREA</t>
  </si>
  <si>
    <t>PML/RARALPHA, (T(15;17)), (PROMYELOCYTIC LEUKEMIA/RETINOIC ACID RECEPTOR ALPHA) (EG, PROMYELOCYTIC LEUKEMIA) TRANSLOCATION ANALYSIS; SINGLE BREA</t>
  </si>
  <si>
    <t xml:space="preserve">PMS2 (POSTMEIOTIC SEGREGATION INCREASED 2 ÝS. CEREVISIAE¨) (EG, HEREDITARY NON-POLYPOSIS COLORECTAL CANCER,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</si>
  <si>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</si>
  <si>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HOMOLOG), FULL SEQUENCE ANALYSIS                                                                          </t>
  </si>
  <si>
    <t xml:space="preserve">GENE ANALYSIS (PHOSPHATASE AND TENSIN HOMOLOG), KNOWN FAMILIAL VARIANT                                                                          </t>
  </si>
  <si>
    <t xml:space="preserve">GENE ANALYSIS (PHOSPHATASE AND TENSIN HOMOLOG), DUPLICATION/DELETION VARIANT                                                                    </t>
  </si>
  <si>
    <t xml:space="preserve">GENE ANALYSIS (PERIPHERAL MYELIN PROTEIN 22), DUPLICATION/DELETION ANALYSIS                                                                     </t>
  </si>
  <si>
    <t xml:space="preserve">GENE ANALYSIS (PERIPHERAL MYELIN PROTEIN 22), FULL SEQUENCE ANALYSIS                                                                            </t>
  </si>
  <si>
    <t xml:space="preserve">GENE ANALYSIS (PERIPHERAL MYELIN PROTEIN 22),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</si>
  <si>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</si>
  <si>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</si>
  <si>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FAMILY, MEMBER1B1) FOR COMMON VARIANT                                                   </t>
  </si>
  <si>
    <t xml:space="preserve">GENE ANALYSIS (SURVIVAL OF MOTOR NEURON 1, TELOMERIC) FOR DOSAGE/DELETION                                                                       </t>
  </si>
  <si>
    <t xml:space="preserve">SMPD1(SPHINGOMYELIN PHOSPHODIESTERASE 1, ACID LYSOSOMAL) (EG, NIEMANN-PICK DISEASE, TYPE A) GENE ANALYSIS, COMMON VARIANTS (EG, R496L,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</si>
  <si>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</si>
  <si>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(EG, PRADER-WILLI SYNDROME AND/OR ANGELMANS        </t>
  </si>
  <si>
    <t xml:space="preserve">SERPINA1 (SERPIN PEPTIDASE INHIBITOR, CLADE A, ALPHA-1 ANTIPROTEINASE,ANTITRYPSIN, MEMBER 1) (EG, ALPHA-1-ANTITRYPSIN DEFICIENCY),GEN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</si>
  <si>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</si>
  <si>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</si>
  <si>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</si>
  <si>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1, TELOMERIC) OF FULL SEQUENCE                                                                          </t>
  </si>
  <si>
    <t xml:space="preserve">GENE ANALYSIS (SURVIVAL OF MOTOR NEURON 1, TELOMERIC) FOR KNOWN FAMILIAL SEQUENCE VARIANTS                                                      </t>
  </si>
  <si>
    <t xml:space="preserve">"Gene analysis (MPL proto-oncogene, thrombopoietin receptor) for detection of co                                                               </t>
  </si>
  <si>
    <t xml:space="preserve">"Gene analysis (MPL proto-oncogene, thrombopoietin receptor) sequence analysis o                                                               </t>
  </si>
  <si>
    <t xml:space="preserve">TRB@ (T CELL ANTIGEN RECEPTOR, BETA) (EG, LEUKEMIA AND LYMPHOMA), GENEREARRANGEMENT ANALYSIS TO DETECT ABNORMAL CLONAL POPULATION(S)            </t>
  </si>
  <si>
    <t xml:space="preserve">TRG@ (T CELL ANTIGEN RECEPTOR, GAMMA) (EG, LEUKEMIA AND LYMPHOMA), GENE REARRANGEMENT ANALYSIS,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</si>
  <si>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</si>
  <si>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</si>
  <si>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</si>
  <si>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</si>
  <si>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Ý3b¨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</si>
  <si>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</si>
  <si>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</si>
  <si>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FAMILY, POLYPEPTIDE A1) (EG, IRINOTECAN METABOLISM), GENE ANALYSIS, COMMON VARIANTS (EG, *28, *36,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</si>
  <si>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</si>
  <si>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</si>
  <si>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</si>
  <si>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COMPLEX, SUBUNIT 1) (EG, WARFARIN METABOLISM), GENE ANALYSIS, COMMON VARIANTS (EG,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</si>
  <si>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</si>
  <si>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CCCH-type, RNA binding motif and serine/arginine-ric                                                               </t>
  </si>
  <si>
    <t xml:space="preserve">GENE ANALYSIS (HEMOGLOBIN, SUBUNIT BETA) FOR COMMON VARIANT                                                                                     </t>
  </si>
  <si>
    <t xml:space="preserve">GENE ANALYSIS (HEMOGLOBIN, SUBUNIT BETA) FOR KNOWN FAMILIAL VARIANT                                                                             </t>
  </si>
  <si>
    <t xml:space="preserve">GENE ANALYSIS (HEMOGLOBIN, SUBUNIT BETA) FOR DUPLICATION/DELETION VARIANT                                                                       </t>
  </si>
  <si>
    <t xml:space="preserve">GENE ANALYSIS (HEMOGLOBIN, SUBUNIT BETA) FULL SEQUENCE ANALYSIS                                                                                 </t>
  </si>
  <si>
    <t xml:space="preserve">HLA CLASS I AND II TYPING, LOW RESOLUTION (EG, ANTIGEN EQUIVALENTS); HLA-A, -B, -C, -DRB1/3/4/5, AND -DQB1                                      </t>
  </si>
  <si>
    <t xml:space="preserve">HLA CLASS I AND II TYPING, LOW RESOLUTION (EG, ANTIGEN EQUIVALENTS); HLA-A, -B, AND -DRB1/3/4/5 (EG, VERIFICATION TYPING)                       </t>
  </si>
  <si>
    <t xml:space="preserve">HLA CLASS I TYPING, LOW RESOLUTION (EG, ANTIGEN EQUIVALENTS); COMPLETE(IE, HLA-A, -B,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</si>
  <si>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</si>
  <si>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TYPING, LOW RESOLUTION (EG, ANTIGEN EQUIVALENTS); ONE LOCUS (EG, HLA-A, -B OR -C), EACH                                             </t>
  </si>
  <si>
    <t xml:space="preserve">HLA CLASS I TYPING, LOW RESOLUTION (EG, ANTIGEN EQUIVALENTS); ONE ANTIGEN EQUIVALENT (EG, B*27), EACH                                           </t>
  </si>
  <si>
    <t xml:space="preserve">HLA CLASS II TYPING, LOW RESOLUTION (EG, ANTIGEN EQUIVALENTS); HLA-DRB1/3/4/5 AND-DQB1                                                          </t>
  </si>
  <si>
    <t xml:space="preserve">HLA CLASS II TYPING, LOW RESOLUTION (EG, ANTIGEN EQUIVALENTS); ONE LOCUS (EG, HLA-DRB1/3/4/5, -DQB1, -DQA1, -DPB1, OR -DPA1), EACH              </t>
  </si>
  <si>
    <t xml:space="preserve">HLA CLASS II TYPING, LOW RESOLUTION (EG, ANTIGEN EQUIVALENTS); ONE ANTIGEN EQUIVALENT,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</si>
  <si>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</si>
  <si>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TYPING, HIGH RESOLUTION (IE, ALLELES OR ALLELE GROUPS), HLA-A, -B, -C, AND -DRB1                                             </t>
  </si>
  <si>
    <t xml:space="preserve">HLA CLASS I TYPING, HIGH RESOLUTION (IE, ALLELES OR ALLELE GROUPS); COMPLETE (IE, HLA-A, -B, AND -C)                                            </t>
  </si>
  <si>
    <t xml:space="preserve">HLA CLASS I TYPING, HIGH RESOLUTION (IE, ALLELES OR ALLELE GROUPS); ONE LOCUS   (EG, HLA-A, -B, OR -C), EACH                                    </t>
  </si>
  <si>
    <t xml:space="preserve">HLA CLASS I TYPING, HIGH RESOLUTION (IE, ALLELES OR ALLELE GROUPS); ONE ALLELE  OR ALLELE GROUP (EG, B*57:01P), EACH                            </t>
  </si>
  <si>
    <t>HLA CLASS II TYPING, HIGH RESOLUTION (IE, ALLELES OR ALLELE GROUPS); ONE LOCUS  (EG, HLA-DRB1, -DRB3, -DRB4, -DRB5, -DQB1, -DQA1, -DPB1, OR -DPA</t>
  </si>
  <si>
    <t xml:space="preserve">HLA CLASS II TYPING, HIGH RESOLUTION (IE, ALLELES OR ALLELE GROUPS); ONE ALLELE OR ALLELE GROUP (EG, HLA-DQB1*06:02P), EACH                     </t>
  </si>
  <si>
    <t xml:space="preserve">MOLECULAR PATHOLOGY PROCEDURE, LEVEL 1 (EG, IDENTIFICATION OF SINGLE GERMLINE                                                                   </t>
  </si>
  <si>
    <t xml:space="preserve">MOLECULAR PATHOLOGY PROCEDURE, LEVEL 2 (EG, 2-10 SNPS, 1 METHYLATED VARIANT, OR 1 SOMATIC VARIANT ÝTYPICALLY USING NONSEQUENCING TARGET VARIANT </t>
  </si>
  <si>
    <t xml:space="preserve">MOLECULAR PATHOLOGY PROCEDURE, LEVEL 3 (EG, &gt;10 SNPS, 2-10 METHYLATED VARIANTS, OR 2-10 SOMATIC VARIANTS ÝTYPICALLY USING NON-SEQUENCING TARGET </t>
  </si>
  <si>
    <t xml:space="preserve">MOLECULAR PATHOLOGY PROCEDURE, LEVEL 4 (EG, ANALYSIS OF SINGLE EXON BYDNA SEQUENCE ANALYSIS, ANALYSIS OF &gt;10 AMPLICONS USING MULTIPLEX PCR      </t>
  </si>
  <si>
    <t xml:space="preserve">MOLECULAR PATHOLOGY PROCEDURE, LEVEL 5 (EG, ANALYSIS OF 2-5 EXONS BY DNA SEQUENCE ANALYSIS, MUTATION SCANNING OR DUPLICATION/ DELETION VA       </t>
  </si>
  <si>
    <t xml:space="preserve">MOLECULAR PATHOLOGY PROCEDURE, LEVEL 6 (EG, ANALYSIS OF 6-10 EXONS BY DNA SEQUENCE ANALYSIS, MUTATION SCANNING OR DUPLICATION/ DELETION VA      </t>
  </si>
  <si>
    <t xml:space="preserve">MOLECULAR PATHOLOGY PROCEDURE, LEVEL 7 (EG, ANALYSIS OF 11-25 EXONS BYDNA SEQUENCE ANALYSIS, MUTATION SCANNING OR DUPLICATION/DELETION VAR      </t>
  </si>
  <si>
    <t xml:space="preserve">MOLECULAR PATHOLOGY PROCEDURE, LEVEL 8 (EG, ANALYSIS OF 26-50 EXONS BYDNA SEQUENCE ANALYSIS, MUTATION SCANNING OR DUPLICATION/DELETIONVAR       </t>
  </si>
  <si>
    <t xml:space="preserve">MOLECULAR PATHOLOGY PROCEDURE, LEVEL 9 (EG, ANALYSIS OF &gt;50 EXONS IN ASINGLE GENE BY DNA SEQUENCE ANALYSIS)   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</si>
  <si>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</si>
  <si>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</si>
  <si>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</si>
  <si>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</si>
  <si>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</si>
  <si>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Genomic sequence analysis panel of at least 6 genes associated with drug metabol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</si>
  <si>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</si>
  <si>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</si>
  <si>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</si>
  <si>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CANCERS), GENOMIC SEQUENCE                                                                                    </t>
  </si>
  <si>
    <t xml:space="preserve">GENE ANALYSIS (BREAST AND RELATED CANCERS), DUPLICATION OR DELETION VARIANTS                                                                    </t>
  </si>
  <si>
    <t xml:space="preserve">GENE ANALYSIS (RETINAL DISORDERS), GENOMIC SEQUENCE                                                                                             </t>
  </si>
  <si>
    <t xml:space="preserve">GENE ANALYSIS (NEUROENDOCRINE TUMORS), GENOMIC SEQUENCE                                                                                         </t>
  </si>
  <si>
    <t xml:space="preserve">GENE ANALYSIS (NEUROENDOCRINE TUMORS),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</si>
  <si>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</si>
  <si>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</si>
  <si>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sequence analysis panel at least 30 genes associated with inherited bone ma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</si>
  <si>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</si>
  <si>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</si>
  <si>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</si>
  <si>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NERVOUSSYSTEM                                                                    </t>
  </si>
  <si>
    <t xml:space="preserve">Targeted genomic sequence analysis panel of RNA of 5-50 genes associated with so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</si>
  <si>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</si>
  <si>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Targeted genomic sequence analysis panel of RNA of 5-50 genes associated with bl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</si>
  <si>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</si>
  <si>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Targeted genomic sequence analysis panel of RNA of 51 or greater genes associate                                                                </t>
  </si>
  <si>
    <t xml:space="preserve">Genomic sequence analysis panel of DNA for microsatellite instability in solid o                                                                </t>
  </si>
  <si>
    <t xml:space="preserve">Genomic sequence analysis panel of DNA for microsatellite instability and copy n                                                                </t>
  </si>
  <si>
    <t xml:space="preserve">Genomic sequence analysis panel of DNA or combined DNA and RNA for copy number v                                                                </t>
  </si>
  <si>
    <t xml:space="preserve">Genomic sequence analysis of DNA or combined DNA and RNA in plasma for copy numb                                                                </t>
  </si>
  <si>
    <t xml:space="preserve">Genomic sequence analysis of DNA in plasma for copy number variants and microsat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</si>
  <si>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</si>
  <si>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</si>
  <si>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COVERED FOR SEVERE COMBINED IMMUNODEFICIENCY SCREENING ONLY DO  UMENTATION REQUIRED UNLISTED-BR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</si>
  <si>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</si>
  <si>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</si>
  <si>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(OVARIAN), BIOCHEMICAL ASSAYS OF TWO PROTEINS (CA-25 AND HE4)                                                                          </t>
  </si>
  <si>
    <t xml:space="preserve">ONCOLOGY (OVARIAN), BIOCHEMICAL ASSAYS OF FIVE PROTEINS (CA-125, APOLIPROPROTEIN A1, BETA-2 MICROGLOBULIN, TRANSFERRIN,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</si>
  <si>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</si>
  <si>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</si>
  <si>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ABNORMALITIES, BIOCHEMICAL ASSAYS OF TWO PROTEINS (PAPP-A, HCG ANY FORML), UTILIZING MATERNAL SERUM, ALGORITHM REPORTED AS A R </t>
  </si>
  <si>
    <t>FETAL CONGENITAL ABNORMALITIES, BIOCHEMICAL ASSAYS OF THREE PROTEINS (PAPP-A,   HCG ÝANY FORM¨, DIA), UTILIZING MATERNAL SERUM, ALGORITHM REPORT</t>
  </si>
  <si>
    <t>FETAL CONGENITAL ABNORMALITIES, BIOCHEMICAL ASSAYS OF THREE ANALYTES (AFP, UE3, HCG ÝANY FORM¨), UTILIZING MATERNAL SERUM, ALGORITHM REPORTED AS</t>
  </si>
  <si>
    <t>FETAL CONGENITAL ABNORMALITIES, BIOCHEMICAL ASSAYS OF FOUR ANALYTES (AFP, UE3, HCG ANY FORMU, DIA) UTILIZING MATERNAL SERUM, ALGORITHM REPORORTE</t>
  </si>
  <si>
    <t xml:space="preserve">FETAL CONGENITAL ABNORMALITIES, BIOCHEMICAL ASSAYS OF FIVE ANALYTES (AFP, UE3, TOTAL HCG, HYPERGLYCOSYLATED HCG,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</si>
  <si>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</si>
  <si>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</si>
  <si>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</si>
  <si>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Test for detecting 3 biomarkers associated with risk for liver disease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</si>
  <si>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</si>
  <si>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</si>
  <si>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</si>
  <si>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</si>
  <si>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</si>
  <si>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CRITERIA.  ONE PER LIFETIME.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</si>
  <si>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</si>
  <si>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</si>
  <si>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</si>
  <si>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</si>
  <si>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</si>
  <si>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</si>
  <si>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</si>
  <si>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</si>
  <si>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</si>
  <si>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</si>
  <si>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10,196 genes in fine needle aspiration thyroid specimen,               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</si>
  <si>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</si>
  <si>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</si>
  <si>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</si>
  <si>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</si>
  <si>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</si>
  <si>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BODIES, SERUM; QUALITATIVE,                                                                                             </t>
  </si>
  <si>
    <t xml:space="preserve">ACETONE, BLOOD                                                                                                                                  </t>
  </si>
  <si>
    <t xml:space="preserve">ACETONE OR OTHER KETONE BODIES, SERUM,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</si>
  <si>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</si>
  <si>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</si>
  <si>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QUANTITATIVE, EACH SPECIMEN                                                                                                      </t>
  </si>
  <si>
    <t xml:space="preserve">ADRENOCORTICOTROPHIC HORMONE (ACTH),                                                                                                            </t>
  </si>
  <si>
    <t xml:space="preserve">ADENOSINE;5'-MONOPHOSPHATE , CYCLIC (CYLIC AMP);                                                                                                </t>
  </si>
  <si>
    <t xml:space="preserve">ALBUMIN; SERUM, PLASMA OR WHOLE BLOOD                                                                                                           </t>
  </si>
  <si>
    <t xml:space="preserve">ALBUMIN; SERUM, PLASMA OR WHOLE BLOOD                                   </t>
  </si>
  <si>
    <t xml:space="preserve">ALBUMIN; URINE OR OTHER SOURCE, QUANTITATIVE, EACH SPECIMEN                                                                                     </t>
  </si>
  <si>
    <t xml:space="preserve">ALBUMIN; URINE OR OTHER SOURCE, QUANTITATIVE, EACH SPECIMEN             </t>
  </si>
  <si>
    <t xml:space="preserve">URINE, MICROALBUMIN, QUANTITATIVE                                                                                                               </t>
  </si>
  <si>
    <t xml:space="preserve">URINE, MICROALBUMIN, QUANTITATIVE                                       </t>
  </si>
  <si>
    <t xml:space="preserve">URINE, MICROALBUMIN, SEMIQUANTITATIVE (EG, REAGENT STRIP ASSAY)                                                                                 </t>
  </si>
  <si>
    <t xml:space="preserve">MICROALBUMIN, URINE,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</si>
  <si>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</si>
  <si>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ALCOHOL,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</si>
  <si>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</si>
  <si>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</si>
  <si>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</si>
  <si>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</si>
  <si>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........PHENOTYPE;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</si>
  <si>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</si>
  <si>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</si>
  <si>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........AMNIOTIC FLUID ;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</si>
  <si>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</si>
  <si>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</si>
  <si>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</si>
  <si>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</si>
  <si>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FLUID, QUALITATIVE                                                                                                              </t>
  </si>
  <si>
    <t xml:space="preserve">AMINES, VAGINAL FLUID, QUALITATIVE                                                                                                              </t>
  </si>
  <si>
    <t xml:space="preserve">AMINO ACIDS; SINGLE, QUALITATIVE, EACH SPECIMEN                                                                                                 </t>
  </si>
  <si>
    <t xml:space="preserve">AMINO ACIDS, QUALITATIVE (MEDICARE MAX OF $15.30 FOR INDEPENDENT LAB)                                                                           </t>
  </si>
  <si>
    <t xml:space="preserve">AMINO ACIDS, QUANTITATION, EACH                                                                                                                 </t>
  </si>
  <si>
    <t xml:space="preserve">AMINOLEVULNIC ACID, DELTA (ALA);                                                                                                                </t>
  </si>
  <si>
    <t xml:space="preserve">AMINO ACIDS, S TO 5 AMINO ACIDS, QUANTATIVE, EACH SPECIMEN                                                                                      </t>
  </si>
  <si>
    <t xml:space="preserve">AMINO ACIDS, 6 OR MORE AMINO ACIDS,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</si>
  <si>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</si>
  <si>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</si>
  <si>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</si>
  <si>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</si>
  <si>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</si>
  <si>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</si>
  <si>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</si>
  <si>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</si>
  <si>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</si>
  <si>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Test for anti-mullerian hormone                                                                                                                 </t>
  </si>
  <si>
    <t xml:space="preserve">APOLIPOPROTEIN,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</si>
  <si>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</si>
  <si>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ACID, BLOOD                                                                                                                            </t>
  </si>
  <si>
    <t xml:space="preserve">ATOMIC ABSORPTION SPECTROSCOPY,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</si>
  <si>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</si>
  <si>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</si>
  <si>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CHOLYLGLYCINE,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</si>
  <si>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</si>
  <si>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</si>
  <si>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</si>
  <si>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FECES, QUALITATIVE;                                                                                                                             </t>
  </si>
  <si>
    <t xml:space="preserve">BIOTINIDASE, EACH SPECIMEN                                                                                                                      </t>
  </si>
  <si>
    <t xml:space="preserve">BLOOD, OCCULT, BY PEROXIDASE ACTIVITY (EG, GUAIAC), QUALITATIVE; FECES, CONSECUTIVE COLLECTED SPECIMENS WITH SINGLE DETERMINATION, FOR C        </t>
  </si>
  <si>
    <t xml:space="preserve">BLOOD, OCCULT, BY PEROXIDASE ACTIVITY (EG, GUAIAC), QUALITATIVE; OTHER SOURCES                                                                  </t>
  </si>
  <si>
    <t xml:space="preserve">BLOOD, OCCULT, BY PEROXIDASE ACTIVITY (EG, GUAIAC), QUALITATIVE, FECES, 1-3 SIMULTANEOUS DETERMINATIONS, PERFORMED FOR OTHER THAN COLORECTAL    </t>
  </si>
  <si>
    <t xml:space="preserve">BLOOD, OCCULT, BY FECAL HEMOGLOBIN DETERMINATION BY IMMUNOASSAY, QUALITATIVE, FECES, 1-3 SIMULTANEOUS DETERMINATIONS                            </t>
  </si>
  <si>
    <t xml:space="preserve">BRADYKININ,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</si>
  <si>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</si>
  <si>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HYDROXY, INCLUDES FRACTION(S),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</si>
  <si>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</si>
  <si>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</si>
  <si>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</si>
  <si>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</si>
  <si>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</si>
  <si>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CALSIUM INFUSION TEST                                                                                                                     </t>
  </si>
  <si>
    <t xml:space="preserve">********URINE QUANTITATIVE, TIMED SPECIMIN;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</si>
  <si>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</si>
  <si>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(STONE), QUANTITATIVE ANALYSIS,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</si>
  <si>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</si>
  <si>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</si>
  <si>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</si>
  <si>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</si>
  <si>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</si>
  <si>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</si>
  <si>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</si>
  <si>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</si>
  <si>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FREE), QUANTITATIVE,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</si>
  <si>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</si>
  <si>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</si>
  <si>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</si>
  <si>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</si>
  <si>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</si>
  <si>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</si>
  <si>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</si>
  <si>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</si>
  <si>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</si>
  <si>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</si>
  <si>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CHEMICAL,ELECTROMETERIC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</si>
  <si>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</si>
  <si>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HYDROCARBONS, SCREEN                                                                                                                </t>
  </si>
  <si>
    <t xml:space="preserve">CHOLESTEROL, SERUM OR WHOLE BLOOD, TOTAL                                                                                                        </t>
  </si>
  <si>
    <t xml:space="preserve">CHOLINESTERASE,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</si>
  <si>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</si>
  <si>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SULFATE,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</si>
  <si>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</si>
  <si>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</si>
  <si>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LINKS, ANY METHOD                                                                                                                </t>
  </si>
  <si>
    <t xml:space="preserve">COLLAGEN CROSS LINKS,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</si>
  <si>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</si>
  <si>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</si>
  <si>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</si>
  <si>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</si>
  <si>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</si>
  <si>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SPECTROMETRY,ANALYTE NOT ELSEWHERE SPECIFIED;QUANTITATIVE, SINGLE STATIONARY AND MOBILE PHASE                        </t>
  </si>
  <si>
    <t xml:space="preserve">CREATINE KINASE (CK),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</si>
  <si>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</si>
  <si>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</si>
  <si>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</si>
  <si>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........ISOFORMS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</si>
  <si>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</si>
  <si>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</si>
  <si>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</si>
  <si>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CREATININE,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</si>
  <si>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</si>
  <si>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</si>
  <si>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CRYOGLOBULIN, QUALITATIVE OR SEMI-QUANTITATIVE (EG,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</si>
  <si>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</si>
  <si>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</si>
  <si>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</si>
  <si>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</si>
  <si>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URINE,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</si>
  <si>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</si>
  <si>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</si>
  <si>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DESOXYCORTICOSTERONE, 11-,                                                                                                                      </t>
  </si>
  <si>
    <t xml:space="preserve">DEOXYCORTISOL,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</si>
  <si>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</si>
  <si>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</si>
  <si>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1, 25 DIHYDROXY, INCLUDES FRACTION(S),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</si>
  <si>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</si>
  <si>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ELASTASE, PANCREATIC (EL-1), FECAL, QUALITATIVE OR SEMI-QUANTITATIVE                                                                            </t>
  </si>
  <si>
    <t xml:space="preserve">ENZYME ACTIVITY IN BLOOD CELLS, CULTURED CELLS OR TISSUE, NOS; NONRADIOACTIVE SUBSTRATE, EACH SPECIMEN                                          </t>
  </si>
  <si>
    <t xml:space="preserve">ENZYME ACTIVITY IN BLOOD CELLS, CULTURED CELLS, OR TISSUE, NOS; RADIOACTIVE SUBSTRATE, EACH SPECIMEN                                            </t>
  </si>
  <si>
    <t xml:space="preserve">ELECTROPHORETIC TECHNIQUE,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</si>
  <si>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</si>
  <si>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</si>
  <si>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</si>
  <si>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ESTROGENS,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</si>
  <si>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</si>
  <si>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</si>
  <si>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</si>
  <si>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</si>
  <si>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</si>
  <si>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</si>
  <si>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LIPIDS, FECES,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</si>
  <si>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</si>
  <si>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DIFFERENTIAL, FECES, QUANTITATIVE                                                                                                           </t>
  </si>
  <si>
    <t xml:space="preserve">FATTY ACIDS,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</si>
  <si>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</si>
  <si>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</si>
  <si>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FIBRONECTIN, CERVICOVAGINAL SECRETIONS,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</si>
  <si>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</si>
  <si>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</si>
  <si>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</si>
  <si>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FRUCTOSE, SEMEN                                                                                                                                 </t>
  </si>
  <si>
    <t xml:space="preserve">GALACTOKINASE,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</si>
  <si>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</si>
  <si>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</si>
  <si>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</si>
  <si>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</si>
  <si>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IGA, IGD, IGG, IGM,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</si>
  <si>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</si>
  <si>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(EG, IGG1, 2, 3, OR   4), EACH                                                        </t>
  </si>
  <si>
    <t xml:space="preserve">GASSES BLOOD; PH ONLY                                                                                                                           </t>
  </si>
  <si>
    <t xml:space="preserve">GASSES, BLOOD, ANY COMBINATION OF PH, PCO2, PO2, CO2, HCO2, NON COVER ED WHEN BILLED WITH INPT HOSP VISITS                                      </t>
  </si>
  <si>
    <t xml:space="preserve">WITH O2 SATURATION, BY DIRECT MEASUREMENT, EXCEPT PULSE OXIMETRY                                                                                </t>
  </si>
  <si>
    <t xml:space="preserve">GASSES,BLOOD,02, SATURATION ONLY, BY DIRECT MEASUREMENT,EXCEPT PULSE  OXIMETRY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</si>
  <si>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</si>
  <si>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ANALYSIS, INCLUDES PH IF PERFORMED,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</si>
  <si>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</si>
  <si>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</si>
  <si>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</si>
  <si>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GLUCOSE, BODY FLUID,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</si>
  <si>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</si>
  <si>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QUANTITATIVE, BLOOD (EXCEPT REAGENT STRIP)                                                                                             </t>
  </si>
  <si>
    <t xml:space="preserve">GLUCOSE; BLOOD,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</si>
  <si>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</si>
  <si>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</si>
  <si>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</si>
  <si>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(GTT), THREE SPECIMENS (INCLUDES GLUCOSE)                                                                                        </t>
  </si>
  <si>
    <t xml:space="preserve">TOLERANCE TEST, EACH ADDITIONAL BEYOND THREE SPECIMENS                                                                                          </t>
  </si>
  <si>
    <t xml:space="preserve">GLUCOSE-6-PHOSPHATE DEHYDROGENASE,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</si>
  <si>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</si>
  <si>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GLUCOSE, BLOOD, BY GLUCOSE MONITORING DEVICE(S) CLEARED BY THE FDA SPEC HOME USE,CLIA WAVED TEST.                                               </t>
  </si>
  <si>
    <t xml:space="preserve">GLUCOSIDASE,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</si>
  <si>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</si>
  <si>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GLUTAMYLTRANSFERASE, GAMMA (GGT);                                                                                                               </t>
  </si>
  <si>
    <t>GLUTAMYLTRANSFERASE, GAMMA (GGT)****************************************</t>
  </si>
  <si>
    <t xml:space="preserve">GLUTATHIONE;                                                                                                                                    </t>
  </si>
  <si>
    <t xml:space="preserve">GLUTATHIONE REDUCTASE,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</si>
  <si>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</si>
  <si>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</si>
  <si>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</si>
  <si>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</si>
  <si>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GONADOTROPIN,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</si>
  <si>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</si>
  <si>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HORMONE, HUMAN (HGH),(SOMATOTROPIN);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</si>
  <si>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</si>
  <si>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HAPTOGLOBIN, QUANTITATIVE;                                                                                                                      </t>
  </si>
  <si>
    <t xml:space="preserve">********PHENOTYPES                                                                                                                              </t>
  </si>
  <si>
    <t xml:space="preserve">HELICOBACTER PYLORI; BREATH TEST ANALYSIS FOR UREASE ACTIVITY, NON-RADIOACTIVE  ISOTOPE (EG,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</si>
  <si>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</si>
  <si>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(ARSENIC, BARIUM, BERYLLIUM, BISMUTH, ANTIMONY, MERCURY);                                                                    </t>
  </si>
  <si>
    <t xml:space="preserve">HEAVY METAL QUANT., EACH;                                                                                                                       </t>
  </si>
  <si>
    <t xml:space="preserve">HEMOGLOBIN; ELECTROPHORESIS (EG. A2,S,C,)                                                                                                       </t>
  </si>
  <si>
    <t xml:space="preserve">B-HEXOSAMINIDASE, EACH ASSAY                                                                                                                    </t>
  </si>
  <si>
    <t xml:space="preserve">HEMOGLOBIN; BY COPPER SUFATE METHOD, NON-AUTOMATED CLIA WAIVED FOR MONITORING HEMOGLOBIN IN BLOOD                                               </t>
  </si>
  <si>
    <t xml:space="preserve">HEMOGLOBIN, F (FETAL), CHEMICAL                                                                                                                 </t>
  </si>
  <si>
    <t xml:space="preserve">HEMOGLOBIN; F (FETAL),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</si>
  <si>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</si>
  <si>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METHEMOGLOBIN, QUALITATIVE;                                                                                                                     </t>
  </si>
  <si>
    <t xml:space="preserve">METHEMOGLOBIN,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</si>
  <si>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</si>
  <si>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SULFHEMOGLOBIN,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</si>
  <si>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</si>
  <si>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UNSTABLE,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</si>
  <si>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</si>
  <si>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HEMOSIDERIN,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</si>
  <si>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</si>
  <si>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</si>
  <si>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</si>
  <si>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HYDROXYCORTICOSTEROIDS, 17-(17-OHCS);                                                                                                           </t>
  </si>
  <si>
    <t xml:space="preserve">HYDROXYINDOLACETIC ACID, 5-(HIAA), URINE                                                                                                        </t>
  </si>
  <si>
    <t xml:space="preserve">HYDROXYPROGESTERONE, 17-D                                                                                                                       </t>
  </si>
  <si>
    <t xml:space="preserve">HYDROXYPROLINE,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</si>
  <si>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</si>
  <si>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SEMIQUANTITATIVE, MULTIPLE STEP ME     </t>
  </si>
  <si>
    <t xml:space="preserve">IMMUNOASSAY FOR ANALYTE OTHER THAN INFECTIOUS AGENT ANTIBODY OR INFECTIOUS AGENT ANTIGEN; QUALITATIVE OR SEMIQUANTITATIVE, SINGLE STEP METH     </t>
  </si>
  <si>
    <t>IMMUNOASSAY FOR ANALYTE OTHER THAN INFECTIOUS AGENT ANTIBODY OR INFECTIOUS AGENT ANTIGEN; QUALITATIVE OR SEMIQUANTITATIVE, SINGLE STEP METH METH</t>
  </si>
  <si>
    <t xml:space="preserve">IMMUNOASSAY FOR ANALYTE OTHER THAN INFECTIOUS AGENT ANTIBODY OR INFECTIOUS AGENT ANTIGEN; QUANTITATIVE, BY RADIOIMMUNOASSAY (EG, RIA)           </t>
  </si>
  <si>
    <t xml:space="preserve">IMMUNOASSAY FOR ANALYTE OTHER THAN INFECTIOUS AGENT ANTIBODY OR INFECTIOUS AGENT ANTIGEN; QUANTITATIVE,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</si>
  <si>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</si>
  <si>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INSULIN, TOTAL,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</si>
  <si>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</si>
  <si>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</si>
  <si>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</si>
  <si>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</si>
  <si>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</si>
  <si>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{SOCITRIC DEHYDROGENASE (IDH);                                                                                                                  </t>
  </si>
  <si>
    <t xml:space="preserve">KETOGENIC STEROIDS, FRACTIONATION;                                                                                                              </t>
  </si>
  <si>
    <t xml:space="preserve">KETOSTEROIDS, 17-(17-KS) TOTAL;                                                                                                                 </t>
  </si>
  <si>
    <t xml:space="preserve">KETOSTEROIDS, FRACTIONATION                                                                                                                     </t>
  </si>
  <si>
    <t xml:space="preserve">LACTATE,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</si>
  <si>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</si>
  <si>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(LD),(LDH); (PANEL TEST 80002-80019)                                                                                       </t>
  </si>
  <si>
    <t xml:space="preserve">********ISOENZYMES, SEPARATION AND QUANTITATION;                                                                                                </t>
  </si>
  <si>
    <t xml:space="preserve">LACTOFERRIN, FECAL; QUALITATIVE                                                                                                                 </t>
  </si>
  <si>
    <t xml:space="preserve">LACTOFERRIN, FECAL, QUANTITATIVE                                                                                                                </t>
  </si>
  <si>
    <t xml:space="preserve">LACTOGEN, HUMAN PLACENTAL (HPL) HUMAN CHORIONIC SOMATOMMOTROPIN                                                                                 </t>
  </si>
  <si>
    <t xml:space="preserve">LACTOSE, URINE,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</si>
  <si>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</si>
  <si>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</si>
  <si>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</si>
  <si>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</si>
  <si>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</si>
  <si>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</si>
  <si>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</si>
  <si>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</si>
  <si>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</si>
  <si>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A2, (LP-PLA2)                                                                                              </t>
  </si>
  <si>
    <t xml:space="preserve">LIPOPROTEIN, BLOOD; ELECTROPHORETIC SEPARATION AND QUANTITATION                                                                                 </t>
  </si>
  <si>
    <t xml:space="preserve">LIPOPROTEIN, BLOOD; HIGH RESOLUTION FRACTIONATION AND QUANTITATION OF LIPOPROTEINS INCLUDING LIPOPROTEIN SUBCLASSES WHEN PERFORMED(EG           </t>
  </si>
  <si>
    <t xml:space="preserve">LIPOPROTEIN, BLOOD; QUANTITATION OF LIPOPROTEIN PARTICLE NUMBERS AND  LIPOPROTEIN PARTICLE SUBCLASSES (EG, BY NUCLEAR MAGNETIC RESONAN          </t>
  </si>
  <si>
    <t xml:space="preserve">LIPOPROTEIN, DIRECT MEASUREMENT; HIGH DENSITY CHOLESTEROL (HDL CHOLESTEROL) ;PART OF LIPID PANEL 80061                                          </t>
  </si>
  <si>
    <t xml:space="preserve">LIPOPROTIEN,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</si>
  <si>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</si>
  <si>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</si>
  <si>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LIPOPROTEIN, DIRECT MEASUREMENT; LDL CHOLESTEROL*****************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</si>
  <si>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</si>
  <si>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FACTOR(LRH),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</si>
  <si>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</si>
  <si>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DEHYDROGENASE,;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</si>
  <si>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</si>
  <si>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SPECTROMETRY, ANALYTE NOS; QUANTITATIVE, EACH SPECIMEN                                                        </t>
  </si>
  <si>
    <t xml:space="preserve">MERCURY,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</si>
  <si>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</si>
  <si>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</si>
  <si>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DEVICE, TEAR OSMOLARITY                                                   </t>
  </si>
  <si>
    <t xml:space="preserve">MUCOPOLYSACCHARIDES, ACID, QUANTITATIVE;                                                                                                        </t>
  </si>
  <si>
    <t xml:space="preserve">MUCIN, SYNOVIAL FLUID (ROPE TEST)                                                                                                               </t>
  </si>
  <si>
    <t xml:space="preserve">MYELIN BASIC PROTEIN,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</si>
  <si>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</si>
  <si>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</si>
  <si>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</si>
  <si>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>NATRIURECTIC PEPTIDE****************************************************</t>
  </si>
  <si>
    <t xml:space="preserve">NEPHELOMETRY,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</si>
  <si>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</si>
  <si>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</si>
  <si>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</si>
  <si>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TOTAL, QUANTITATIVE, EACH SPECIMEN                                                                                               </t>
  </si>
  <si>
    <t xml:space="preserve">ORGANIC ACIDS; QUALITATIVE, EACH SPECIMENT                                                                                                      </t>
  </si>
  <si>
    <t xml:space="preserve">ORGANIC ACID, SINGLE, QUANTITATIVE                                                                                                              </t>
  </si>
  <si>
    <t xml:space="preserve">OSMOLALITY, BLOOD,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</si>
  <si>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</si>
  <si>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</si>
  <si>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</si>
  <si>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</si>
  <si>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</si>
  <si>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</si>
  <si>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FLUID,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</si>
  <si>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</si>
  <si>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</si>
  <si>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CALPROTECTIN, FECAL                                                                                                                             </t>
  </si>
  <si>
    <t xml:space="preserve">PHENYLALANINE (PKU), BLOOD;                                                                                                                     </t>
  </si>
  <si>
    <t xml:space="preserve">PHENYLKETONES, QUALITATIVE;                                                                                                                     </t>
  </si>
  <si>
    <t xml:space="preserve">PHOSPHATASE,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</si>
  <si>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</si>
  <si>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PHOSPHATASE, ALKALINE (PANEL TEST 80002-80019)                                                                                                  </t>
  </si>
  <si>
    <t xml:space="preserve">PHOSPATASE,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</si>
  <si>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</si>
  <si>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</si>
  <si>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</si>
  <si>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PHOSPHOGLUCONATE, 6- DEHYDROGENASE,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</si>
  <si>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</si>
  <si>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</si>
  <si>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</si>
  <si>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PORPHOBILINOGEN, URINE,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</si>
  <si>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</si>
  <si>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(PAMG-1), CERVICOVAGINAL SECRETION, QUALITATIVE                                                                 </t>
  </si>
  <si>
    <t xml:space="preserve">PORPHYRINS, URINE; QUALITATIVE                                                                                                                  </t>
  </si>
  <si>
    <t xml:space="preserve">PORPHYRINS, URINE, QUANTITATION AND FRACTIONATION                                                                                               </t>
  </si>
  <si>
    <t xml:space="preserve">PORPHYRINS, FECES, QUANTITATIVE                                                                                                                 </t>
  </si>
  <si>
    <t xml:space="preserve">POTASSIUM; SERUM, PLASMA OR WHOLE BLOOD                                                                                                         </t>
  </si>
  <si>
    <t xml:space="preserve">POTASSIUM; SERUM,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</si>
  <si>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</si>
  <si>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</si>
  <si>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</si>
  <si>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</si>
  <si>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</si>
  <si>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</si>
  <si>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</si>
  <si>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</si>
  <si>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</si>
  <si>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PROSTAGLANDIN,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</si>
  <si>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</si>
  <si>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</si>
  <si>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</si>
  <si>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PROTEIN, TOTAL, EXCEPT BY REFRACTOMETRY; SERUM, PLASMA OR WHOLE BLOOD                                                                           </t>
  </si>
  <si>
    <t xml:space="preserve">PROTEIN, TOTAL, EXCEPT BY REFRACTOMETRY; SERUM, PLASMA OR WHOLE BLOOD   </t>
  </si>
  <si>
    <t xml:space="preserve">PROTEIN, TOTAL, EXCEPT BY REFRACTOMETRY; URINE                                                                                                  </t>
  </si>
  <si>
    <t xml:space="preserve">PROTEIN, TOTAL, EXCEPT BY REFRACTOMETRY; OTHER SOURCE (EG, SYNOVIAL FLUID, CEREBROSPINAL FLUID)                                                 </t>
  </si>
  <si>
    <t xml:space="preserve">PROTEIN, TOTAL, BY REFRACTOMETRY,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</si>
  <si>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</si>
  <si>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</si>
  <si>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QUANTITATION, SERUM                                                                                  </t>
  </si>
  <si>
    <t xml:space="preserve">PROTEIN; ELECTROPHORETIC FRACTIONATION AND QUANTITATION, OTHER FLUIDS WITH CONCENTRATION (EG, URINE, CSF)                                       </t>
  </si>
  <si>
    <t xml:space="preserve">WESTERN BLOT, WITH INTERPRETATION AND REPORT, BLOOD OR OTHER BODY FLUID                                                                         </t>
  </si>
  <si>
    <t xml:space="preserve">WESTERN BLOT, WITH INTERPRETATION AND REPORT, BLOOD OR OTHER BODY FLUID,IMMUNOLOGICAL PROBE FOR BAND IDENTIFICATION                             </t>
  </si>
  <si>
    <t xml:space="preserve">PROTOPORPHYRIN,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</si>
  <si>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</si>
  <si>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PROINSULIN,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</si>
  <si>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</si>
  <si>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</si>
  <si>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</si>
  <si>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</si>
  <si>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</si>
  <si>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</si>
  <si>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ENDOCRINE,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</si>
  <si>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</si>
  <si>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</si>
  <si>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</si>
  <si>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</si>
  <si>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SEROTONIN)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</si>
  <si>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</si>
  <si>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</si>
  <si>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</si>
  <si>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SERUM, PLASMA OR WHOLE BLOOD                                                                                                            </t>
  </si>
  <si>
    <t xml:space="preserve">SODIUM; SERUM, PLASMA OR WHOLE BLOOD                                    </t>
  </si>
  <si>
    <t xml:space="preserve">URINE (PRIOR TO 7/82  CRVS WAS M124,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</si>
  <si>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</si>
  <si>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</si>
  <si>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</si>
  <si>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SPECTROPHOTOMETRY,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</si>
  <si>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</si>
  <si>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SUGARS, CHROMATOGRAPHIC, TLC OR PAPER CHROMATOGRAPHY                                                                                            </t>
  </si>
  <si>
    <t xml:space="preserve">SUGARS; SINGLE QUALITATIVE, EACH SPECIMEN                                                                                                       </t>
  </si>
  <si>
    <t xml:space="preserve">SUGARS; MULTIPLE QUALITATIVE, EACH SPECIMEN                                                                                                     </t>
  </si>
  <si>
    <t xml:space="preserve">SUGARS; SINGLE QUATITATIVE, EACH SPECIMEN                                                                                                       </t>
  </si>
  <si>
    <t xml:space="preserve">SUGARS; MILTIPLE QUANTITATIVE, EACH SPECIMEN                                                                                                    </t>
  </si>
  <si>
    <t xml:space="preserve">SULPHATE,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</si>
  <si>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</si>
  <si>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TESTOSTERONE,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</si>
  <si>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</si>
  <si>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</si>
  <si>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</si>
  <si>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METABOLITE(S), INCLUDING THROMBOXANE IF PERFORMED,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</si>
  <si>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</si>
  <si>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Evaluation of thiopurine S-methyltransferase (TPMT)                                                                                             </t>
  </si>
  <si>
    <t xml:space="preserve">THYROXINE, TOTAL                                                                                                                                </t>
  </si>
  <si>
    <t xml:space="preserve">THYROXINE, REQUIRING ELUTION (EG, NEONATAL)                                                                                                     </t>
  </si>
  <si>
    <t xml:space="preserve">THYROXINE,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</si>
  <si>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</si>
  <si>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</si>
  <si>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</si>
  <si>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</si>
  <si>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</si>
  <si>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</si>
  <si>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TRANFERASE, ASPARTATE AMINO (AST) (SGOT) (PANEL TEST 80002-80019)                                                                               </t>
  </si>
  <si>
    <t>TRANFERASE, ASPARTATE AMINO (AST) (SGOT)********************************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</si>
  <si>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</si>
  <si>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</si>
  <si>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</si>
  <si>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TRIGLYCERIDES,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</si>
  <si>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</si>
  <si>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(T-3), RESIN UPTAKE                                                                                                              </t>
  </si>
  <si>
    <t xml:space="preserve">TRIIODOTHYRONINE, TOTAL (TT-3)                                                                                                                  </t>
  </si>
  <si>
    <t xml:space="preserve">TRIODOTHYRONINE, FREE                                                                                                                           </t>
  </si>
  <si>
    <t xml:space="preserve">T-3,REVERSE                                                                                                                                     </t>
  </si>
  <si>
    <t xml:space="preserve">TROPONIN, QUANTITATIVE                                                                                                                          </t>
  </si>
  <si>
    <t xml:space="preserve">TRYPSIN, DUODENAL FLUID                                                                                                                         </t>
  </si>
  <si>
    <t xml:space="preserve">TRYPSIN, FECES, QUALITATIVE                                                                                                                     </t>
  </si>
  <si>
    <t xml:space="preserve">TRYPSIN, FECES. QUANTITATIVE,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</si>
  <si>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</si>
  <si>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TROPONIN,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</si>
  <si>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</si>
  <si>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NITROGEN, QUANTITATIVE                                             </t>
  </si>
  <si>
    <t xml:space="preserve">UREA NITROGEN; SEMIQUANTITATIVE (EG, REAGENT STRIP TEST)                                                                                        </t>
  </si>
  <si>
    <t xml:space="preserve">UREA NITROGEN, URINE *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</si>
  <si>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</si>
  <si>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BLOOD,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</si>
  <si>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</si>
  <si>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ACID, OTHER SOURCE                                                                                                                         </t>
  </si>
  <si>
    <t xml:space="preserve">UROBILINOGEN, FECES, QUANTITATIVE                                                                                                               </t>
  </si>
  <si>
    <t xml:space="preserve">UROBILINOGEN, URINE, QUALITATIVE                                                                                                                </t>
  </si>
  <si>
    <t xml:space="preserve">QUANTITATIVE, TIMED SPECIMEN 8141                                                                                                               </t>
  </si>
  <si>
    <t xml:space="preserve">UROBILINOGEN SEMIQUANTITATIVE,                                                                                                                  </t>
  </si>
  <si>
    <t xml:space="preserve">VANILLYLMANDELIC ACID (VMA),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</si>
  <si>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</si>
  <si>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HORMONE, ADH)                                                                                                         </t>
  </si>
  <si>
    <t xml:space="preserve">VITAMIN A,                                                                                                                                      </t>
  </si>
  <si>
    <t xml:space="preserve">VITAMIN,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</si>
  <si>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</si>
  <si>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ANHYDRIDE, CARBON TETRACHLORIDE,DICHLOROETHANE, DICHLOTOMETHANE, DIETHYLETHER, ISOPROPYL ALCOHOL, METHANOL)                   </t>
  </si>
  <si>
    <t xml:space="preserve">XYLOSE ABSORPTION TEST,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</si>
  <si>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</si>
  <si>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</si>
  <si>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GONADOTROPIN, CHORIONIC (HCG); QUANTITATIVE                                                                                                     </t>
  </si>
  <si>
    <t xml:space="preserve">NOT COVERED IF PART OF THE QUAD SCREEN TEST OR FIRST TRIMESTER  SCREENING TEST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</si>
  <si>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</si>
  <si>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GONADOTROPIN, CHORIONIC (HCG); FREE BETA CHAIN                                                                                                  </t>
  </si>
  <si>
    <t>OVULATION TESTS, BY VIUSAL COLOR COMPARISON METHODS FOR HUMAN LEUTINIZINHORMONE.  CLIA WAVED FOR DETECTION OF OVULATION (OPTIMAL FOR CONCEPTION)</t>
  </si>
  <si>
    <t xml:space="preserve">UNLISTED CHEMISTRY PROCEDURE ,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</si>
  <si>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</si>
  <si>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</si>
  <si>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SMEAR, MICROSCOPIC EXAMINATION WITH MANUAL DIFFERENTIAL WBC  COUNT                                                           </t>
  </si>
  <si>
    <t xml:space="preserve">BLOOD COUNT; BLOOD SMEAR, MICROSCOPIC EXAMINATION WITHOUT MANUAL DIFFERENTIAL WBC COUNT                                                         </t>
  </si>
  <si>
    <t xml:space="preserve">BLOOD COUNT; MANUAL DIFFERENTIAL WBC COUNT, BUFFY COAT                                                                                          </t>
  </si>
  <si>
    <t xml:space="preserve">BLOOD COUNT,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</si>
  <si>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</si>
  <si>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</si>
  <si>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</si>
  <si>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(CBC), AUTOMATED (HGB, HCT, RBC, WBC AND PLATELET COUNT)  AND AUTOMATED DIFFERENTIAL WBC COUNT                            </t>
  </si>
  <si>
    <t xml:space="preserve">BLOOD COUNT; COMPLETE (CBC), AUTOMATED (HGB, HCT, RBC, WBC, AND PLATELETCOUNT) AND AUTOMATED DIFFERENTIAL WBC COUNT                             </t>
  </si>
  <si>
    <t xml:space="preserve">BLOOD COUNT; COMPLETE (CBC), AUTOMATED (HGB, HCT, RBC, WBC AND PLATELET COUNT)                                                                  </t>
  </si>
  <si>
    <t xml:space="preserve">BLOOD COUNT; MANUAL CELL COUNT (ERYTHROCYTE, LEUKOCYTE, OR PLATELET) EACH                                                                       </t>
  </si>
  <si>
    <t xml:space="preserve">BLOOD COUNT; RED BLOOD CELL (RBC), AUTOMATED                                                                                                    </t>
  </si>
  <si>
    <t xml:space="preserve">BLOOD COUNT; RETICULOCYTE, MANUAL                                                                                                               </t>
  </si>
  <si>
    <t xml:space="preserve">BLOOD COUNT; RETICULOCYTE, AUTOMATED                                                                                                            </t>
  </si>
  <si>
    <t xml:space="preserve">BLOOD COUNT; RETICULOCYTES, AUTOMATED, INCLUDING ONE OR MORE CELLULAR PARAMETERS (EG, RETICULOCYTE HEMOGLOBIN CONTENT (CHR), IMMATURE           </t>
  </si>
  <si>
    <t xml:space="preserve">BLOOD COUNT; LEUKOCYTE (WBC), AUTOMATED                                                                                                         </t>
  </si>
  <si>
    <t xml:space="preserve">BLOOD COUNT; PLATELET,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</si>
  <si>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</si>
  <si>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</si>
  <si>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</si>
  <si>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TIME,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</si>
  <si>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</si>
  <si>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</si>
  <si>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</si>
  <si>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</si>
  <si>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</si>
  <si>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VIII, VW FACTOR, RISTOCETIN COFACTOR                                                                                                     </t>
  </si>
  <si>
    <t xml:space="preserve">FACTOR VIII, VW FACTOR ANTIGEN                                                                                                                  </t>
  </si>
  <si>
    <t xml:space="preserve">FACTOR VIII, VON WILLEBRAND"S FACTOR,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</si>
  <si>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</si>
  <si>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</si>
  <si>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</si>
  <si>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</si>
  <si>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</si>
  <si>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STABILIZING),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</si>
  <si>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</si>
  <si>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</si>
  <si>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ANTICOAGULANTS, ANTITHROMBIN III,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</si>
  <si>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</si>
  <si>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C, ANTIGEN                                                                                                                              </t>
  </si>
  <si>
    <t xml:space="preserve">PROTEIN C, ACTIVITY                                                                                                                             </t>
  </si>
  <si>
    <t xml:space="preserve">CLOTTING INHIBITORS OR ANTICOAGULANTS; PROTEIN S, TOTAL                                                                                         </t>
  </si>
  <si>
    <t xml:space="preserve">PROTEIN S,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</si>
  <si>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</si>
  <si>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</si>
  <si>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</si>
  <si>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</si>
  <si>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TIME, ACTIVATED                                                                                                                     </t>
  </si>
  <si>
    <t xml:space="preserve">COAGULATION TIME,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</si>
  <si>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</si>
  <si>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SLIDE,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</si>
  <si>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</si>
  <si>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</si>
  <si>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PRODUCTS,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</si>
  <si>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</si>
  <si>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PRODUCTS, D-DIMER; ULTRASENSITIVE (EG, FOR EVALUATION FOR VENOUS THROMBOEMBOLISM),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</si>
  <si>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</si>
  <si>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</si>
  <si>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</si>
  <si>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FIBRINOLYSIS, FUNCTIONAL ACTIVITY, NOT OTHERWISE SPECIFIED (EG, ADAMTS-13),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</si>
  <si>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</si>
  <si>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</si>
  <si>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</si>
  <si>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</si>
  <si>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PLASMINOGEN, ANTIGENIC ASSAY                                                                                                                    </t>
  </si>
  <si>
    <t xml:space="preserve">HEINZ BODIES, DIRECT                                                                                                                            </t>
  </si>
  <si>
    <t xml:space="preserve">INDUCED, ACETYL PHENYTHDRAZINE                                                                                                                  </t>
  </si>
  <si>
    <t xml:space="preserve">HEMOGLOBIN, OR RBCS, FETAL, FOR FETOMATERNAL HEMORRHAGE;DIFF. LYSIS.  .                                                                         </t>
  </si>
  <si>
    <t xml:space="preserve">HEMOGLOBIN OR RBCX, FETAL, FOR FETOMATERNAL HEMORRHAGE; ROSETTE                                                                                 </t>
  </si>
  <si>
    <t xml:space="preserve">HEMOLYSIN,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</si>
  <si>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</si>
  <si>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</si>
  <si>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</si>
  <si>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STAIN,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</si>
  <si>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</si>
  <si>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FRAGILITY,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</si>
  <si>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</si>
  <si>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FRAGILITY, RBC, UNINCUBATED DELETED 0593                                                                                                </t>
  </si>
  <si>
    <t xml:space="preserve">OSMOTIC FRACILITY, RBC; INCUBATED                                                                                                               </t>
  </si>
  <si>
    <t xml:space="preserve">PLATELET; AGGREGATION (IN VITRO), EACH AGENT                                                                                                    </t>
  </si>
  <si>
    <t xml:space="preserve">PLATELET, AGGREGATION (IN VITRO), EACH AGENT *************************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</si>
  <si>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</si>
  <si>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</si>
  <si>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</si>
  <si>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FACTORS, II, V, VII, X, VIT K, CLIA WAIVED                                                                                  </t>
  </si>
  <si>
    <t xml:space="preserve">PROTHROMBIN TIME, SUBSTITUTION, PLASMA FRACTIONS,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</si>
  <si>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</si>
  <si>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TIME, DILUTED,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</si>
  <si>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</si>
  <si>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RATE, ERYTHROCYTE; NON-AUTOMATED CLIA WAIVED FOR NONSPECIFIC SCREENING FOR INFLAMATION, INFECTION, CANCER                         </t>
  </si>
  <si>
    <t xml:space="preserve">SEDIMENTATION RATE,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</si>
  <si>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</si>
  <si>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TIME,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</si>
  <si>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</si>
  <si>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</si>
  <si>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TIME, PARTIAL (PTT) 8426                                                                                                         </t>
  </si>
  <si>
    <t xml:space="preserve">THROMBOPLASTIN TIME, PARTIAL; SUBSTITUTION, PLASMA FRACTIONS,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</si>
  <si>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</si>
  <si>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FEBRILE,(EG. BRUCELLA, FRANCISELLA, MURINE TYPHUS, Q FEVER, ROCKY MOUNTAIN SPOTTED FEVER, SCRUB TYPHUS), EACH ANTIGEN.             </t>
  </si>
  <si>
    <t xml:space="preserve">ALLERGEN SPECIFIC IGG QUANTITATIVE OR SEMIQUANTITATIVE, EACH ALLERGEN                                                                           </t>
  </si>
  <si>
    <t xml:space="preserve">ALLERGEN SPECIFIC IGE; QUANTITATIVE OR SEMIQUANTITATIVE, EACH ALLERGEN                                                                          </t>
  </si>
  <si>
    <t xml:space="preserve">ALLERGEN SPECIFIC IGE; QUALITATIVE, MULTIALLERGEN SCREEN (DIPSTICK,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</si>
  <si>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</si>
  <si>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</si>
  <si>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IDENTIFICATION,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</si>
  <si>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</si>
  <si>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******** PLATELET ASSOCIATED AMMINOGLOBULIN ASSAY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</si>
  <si>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</si>
  <si>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</si>
  <si>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(ANA),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</si>
  <si>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</si>
  <si>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Test for acetylcholine receptor binding antibody                                                                                                </t>
  </si>
  <si>
    <t xml:space="preserve">Test for acetylcholine receptor blocking antibody                                                                                               </t>
  </si>
  <si>
    <t xml:space="preserve">Test for acetylcholine receptor modulating antibody                                                                                             </t>
  </si>
  <si>
    <t xml:space="preserve">ELISA detection of aquaporin-4 (neuromyelitis optica ÝNMO¨) antibody                                                                            </t>
  </si>
  <si>
    <t xml:space="preserve">Cell-based immunofluorescence (CBA) detection of aquaporin-4 (neuromyelitis opti                                                                </t>
  </si>
  <si>
    <t xml:space="preserve">Flow cytometry detection of aquaporin-4 (neuromyelitis optica ÝNMO¨) antibody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</si>
  <si>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</si>
  <si>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</si>
  <si>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</si>
  <si>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</si>
  <si>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ANTIBODY, EACH                                                                                                            </t>
  </si>
  <si>
    <t xml:space="preserve">CARDIOLIPIN (PHOSPHOLIPID) ANTIBODY,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</si>
  <si>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</si>
  <si>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</si>
  <si>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ASSAY,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</si>
  <si>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</si>
  <si>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</si>
  <si>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ANTIGEN, EACH COMPONENT                                                                                                             </t>
  </si>
  <si>
    <t xml:space="preserve">COMPLEMENT ANTIGEN, FUNCTIONAL ACTIVITY, EACH COMPONENT                                                                                         </t>
  </si>
  <si>
    <t xml:space="preserve">COMPLEMENT FIXATION TESTS, EACH ANTIGEN IS, HISTOPLASMOSIS, SYPHILLIS,PSITTACOSIS, RUBELLA, STEPTOCCOUS MG                                      </t>
  </si>
  <si>
    <t xml:space="preserve">CYCLIC CITRULLINATED PEPTIDE (CCP), ANTIBODY                                                                                                    </t>
  </si>
  <si>
    <t xml:space="preserve">DEOXYRIBONUCLEASE,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</si>
  <si>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</si>
  <si>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DNA, SINGLE STRANDED                                                                                                                            </t>
  </si>
  <si>
    <t xml:space="preserve">EXTRACTABLE NUCLEAR ANTIGEN, ANTIBODY TO, ANY METHOD (EG, NRNP, SS-A, SS-B, SM, RNP , SC170, J01) EACH ANTIBODY                                 </t>
  </si>
  <si>
    <t xml:space="preserve">FLUORESCENT ANTIBODY, SCREEN, EACH ANTIBODY PART OF 80072                                                                                       </t>
  </si>
  <si>
    <t xml:space="preserve">FLUORESCENT ANTIBODY TITER, EACH ANTIBODY--                                                                                                     </t>
  </si>
  <si>
    <t xml:space="preserve">Detection of gliadin (deamidated) (DGP) antibody                                                                                                </t>
  </si>
  <si>
    <t xml:space="preserve">GROWTH HORMONE, HUMAN (HGH), ANTIBODY, RIA                                                                                                      </t>
  </si>
  <si>
    <t xml:space="preserve">HEMAGGLUTINATION INHIBITION TEST (HAI),                                                                                                         </t>
  </si>
  <si>
    <t xml:space="preserve">IMMUNOASSAY FOR TUMOR ANTIGEN, QUALITATIVE OR SEMIQUANTITATIVE (EG, BLADDER TUMOR ANTIGEN)                                                      </t>
  </si>
  <si>
    <t xml:space="preserve">IMMUNOASSAY FOR TUMOR ANTIGEN, QUALITATIVE OR SEMIQUANTITATIVE (EG BLADDER TUMOR ANTIGEN)                                                       </t>
  </si>
  <si>
    <t xml:space="preserve">IMMUNOASSAY FOR TUMOR ANTIGEN, QUANTITATIVE;CA 15-3                                                                                             </t>
  </si>
  <si>
    <t xml:space="preserve">IMMUNOASSAY FOR TUMOR ANTIGEN, QUANTITATIVE; CA 19-9                                                                                            </t>
  </si>
  <si>
    <t xml:space="preserve">IMMUNOASSAY FOR TUMOR ANTIGEN,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</si>
  <si>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</si>
  <si>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</si>
  <si>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ANTIBODIES,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</si>
  <si>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</si>
  <si>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ANTIBOTIES TITERS AFTER ABSORPTION WITH BEEF CELLS AND GUINEA PIG KIDNEY                                                            </t>
  </si>
  <si>
    <t xml:space="preserve">IMMUNOASSAY WITH INFECTIOUS AGENT ANTIBODY, QUANTITATIVE, NOT ELSEWHERE SPECIFIED                                                               </t>
  </si>
  <si>
    <t xml:space="preserve">IMMUNOASSAY TO INFECTIOUS AGENT ANTIBODY, QUALITATIVE OR SEMIQUANTITATIVSINGLE STEP METHOD(REAGENT STRIP)                                       </t>
  </si>
  <si>
    <t xml:space="preserve">IMMUNOASSAY FOR INFECTIOUS AGENT  SMITHKLINE DIAGNOSTICS FLEXSURE HP FORIGG ANTIBODIES TO H. PYLORI, ABBOTT FLEXPACK HP TESTS ARE CLIA WAIVED   </t>
  </si>
  <si>
    <t xml:space="preserve">IMMUNOELECTROPHORESIS, SERUM DELETED 0593                                                                                                       </t>
  </si>
  <si>
    <t xml:space="preserve">IMMUNOELECTROPHORESIS; OTHER FLUIDS (EG, URINE,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</si>
  <si>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</si>
  <si>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ANTIBODY(IES), QUALITATIVE OR SEMIQUANTITATIVE, SINGLE STEP METHOD (EG, REAGENT STRIP); (SARS-COV-2)(COVID-19) </t>
  </si>
  <si>
    <t xml:space="preserve">IMMUNODIFFUSION, NOT ELSEWHERE SPECIFIED                                                                                                        </t>
  </si>
  <si>
    <t xml:space="preserve">GEL DIFFUSION, QUALITATIVE (OUCHTERLONY),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</si>
  <si>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</si>
  <si>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</si>
  <si>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ELECTROPHORESIS, OTHER FLUIDS WITH CONCENTRATION (EG, URINE,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</si>
  <si>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</si>
  <si>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</si>
  <si>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ANTIBODIES,                                                                                                                             </t>
  </si>
  <si>
    <t xml:space="preserve">INTRINSIC FACTOR ANTIBODIES,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</si>
  <si>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</si>
  <si>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</si>
  <si>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</si>
  <si>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(EG, MITOGEN OR ANTIGEN) AND DETECTION OF BIOMARKER (EG, ATP)                                     </t>
  </si>
  <si>
    <t xml:space="preserve">LYMPHOCYTE TRANSFORMATION, MITOGEN (PHYTOMITOGEN) OR ANTIGEN INDUCED  BLASTOGENESIS                                                             </t>
  </si>
  <si>
    <t xml:space="preserve">B CELLS, TOTAL COUNT                                                                                                                            </t>
  </si>
  <si>
    <t xml:space="preserve">MONONUCLEAR CELL ANTIGEN, QUANTITATIVE (EG, FLOW CYTOMETRY), NOT OTHERWISE SPECIFIED, EACH ANTIGEN                                              </t>
  </si>
  <si>
    <t xml:space="preserve">NATURAL KILLER (NK) CELLS,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</si>
  <si>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</si>
  <si>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T8,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</si>
  <si>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</si>
  <si>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Cell-based immunofluorescence (CBA) detection of myelin oligodendrocyte glycopro                                                                </t>
  </si>
  <si>
    <t xml:space="preserve">Flow cytometry detection of myelin oligodendrocyte glycoprotein (MOG-IgG1) antib                                                                </t>
  </si>
  <si>
    <t xml:space="preserve">Measurement of tissue transglutaminase                                                                                                          </t>
  </si>
  <si>
    <t xml:space="preserve">Test for muscle-specific kinase antibody                                                                                                        </t>
  </si>
  <si>
    <t xml:space="preserve">STEM CELLS (IE, CD34), TOTAL COUNT                                                                                                              </t>
  </si>
  <si>
    <t xml:space="preserve">MICROSOMAL ANTIBODIES (EG, THYROID OR LIVER-KIDNEY),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</si>
  <si>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</si>
  <si>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TEST,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</si>
  <si>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</si>
  <si>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(NMP22), QUALITATIVE                                                                                                  </t>
  </si>
  <si>
    <t xml:space="preserve">NUCLEAR MATRIX PROTEIN 22 (NMP22), QUALITATIVE                          </t>
  </si>
  <si>
    <t xml:space="preserve">PARTICLE AGGLUTINATION, SCREEN, EACH ANTIBODY                                                                                                   </t>
  </si>
  <si>
    <t xml:space="preserve">PARTICLE AGGLUTINATION; TITER,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</si>
  <si>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</si>
  <si>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</si>
  <si>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FACTOR,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</si>
  <si>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</si>
  <si>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TEST, CELL MEDIATED IMMUNITY MEASUREMENT OF GAMMA INTERFERON ANTIGEN RESPONSE                                                      </t>
  </si>
  <si>
    <t xml:space="preserve">REQURIES DOCUMENTATION                                                                                                                          </t>
  </si>
  <si>
    <t xml:space="preserve">TUBERCULOSIS TEST, CELL MEDIATED IMMUNITY ANTIGEN RESPONSE MEASUREMENT; ENUMERATION OF GAMMA INTERFERON-PRODUCING T-CELLS IN CELL SUSPEN        </t>
  </si>
  <si>
    <t xml:space="preserve">STREPTOKINASE, ANTIBODY                                                                                                                         </t>
  </si>
  <si>
    <t xml:space="preserve">SYPHILIS TEST, NON-TREPONEMAL ANTIBODY; QUALITATIVE (EG, VDRL, RPR, ART)                                                                        </t>
  </si>
  <si>
    <t xml:space="preserve">SYPHILIS TEST,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</si>
  <si>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</si>
  <si>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</si>
  <si>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</si>
  <si>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</si>
  <si>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BACTERIUM, ANTIBODY,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</si>
  <si>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</si>
  <si>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</si>
  <si>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</si>
  <si>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</si>
  <si>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</si>
  <si>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</si>
  <si>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</si>
  <si>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</si>
  <si>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</si>
  <si>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</si>
  <si>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</si>
  <si>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CHLAMYDIA,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</si>
  <si>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</si>
  <si>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</si>
  <si>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</si>
  <si>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ANTIBODY, PART OF 80090                                                                                                   </t>
  </si>
  <si>
    <t xml:space="preserve">CYTOMEGALOVIRUS (CMV),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</si>
  <si>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</si>
  <si>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ENCEPHALITIS, CALIFORNIA (LA CROSSE) ANTIBODY                                                                                                   </t>
  </si>
  <si>
    <t xml:space="preserve">ENCEPHALITIS, EASTERN EQUINE ANTIBODY                                                                                                           </t>
  </si>
  <si>
    <t xml:space="preserve">ENCEPHALITIS, ST. LOUIS ANTIBODY                                                                                                                </t>
  </si>
  <si>
    <t xml:space="preserve">ENCEPHALITIS, WESTERN EQUINE ANTIBODY                                                                                                           </t>
  </si>
  <si>
    <t xml:space="preserve">ENTEROVIRUS (EG, COXSACKIE, ECHO, POLIO)                                                                                                        </t>
  </si>
  <si>
    <t xml:space="preserve">EPSTEIN-BARR (EB) VIRUS, EARLY ANTIGEN (EA) ANTIBODY                                                                                            </t>
  </si>
  <si>
    <t xml:space="preserve">ANTIBODY; EPSTEIN-BARR (EB) VIRUS, NUCLEAR ANTIGEN (EBNA)                                                                                       </t>
  </si>
  <si>
    <t xml:space="preserve">ANTIBODY; EPSTEIN-BARR (EB) VIRUS,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</si>
  <si>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</si>
  <si>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</si>
  <si>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FUNGUS,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</si>
  <si>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</si>
  <si>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</si>
  <si>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HELMINTH,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</si>
  <si>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</si>
  <si>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I,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</si>
  <si>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</si>
  <si>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ANTIBODY, CONFIRMATORY TEST ( EG, WESTERN BLOT) REVIEW MEDICAL NECESSITY  DO NOT PAY TO PHYS. OFFICE; DENY GF                       </t>
  </si>
  <si>
    <t xml:space="preserve">ANTIBODY; HEPATITIS, DELTA AGENT                                                                                                                </t>
  </si>
  <si>
    <t xml:space="preserve">ANTIBODY; HERPES SIMPLEX, NON-SPECIFIC TYPE TEST PART OF 80090                                                                                  </t>
  </si>
  <si>
    <t xml:space="preserve">ANTIBODY; HERPES SIMPLEX, TYPE I                                                                                                                </t>
  </si>
  <si>
    <t xml:space="preserve">ANTIBODY; HERPES SIMPLEX,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</si>
  <si>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</si>
  <si>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</si>
  <si>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</si>
  <si>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</si>
  <si>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HIV-2, SINGLE ASSAY                                                                                                         </t>
  </si>
  <si>
    <t xml:space="preserve">HEPATITIS B CORE ANTIBODY (HBCAB),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</si>
  <si>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</si>
  <si>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</si>
  <si>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</si>
  <si>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(HAAB), TOTAL                                                                                                              </t>
  </si>
  <si>
    <t xml:space="preserve">IBM ANTIBODY************************************************************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</si>
  <si>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</si>
  <si>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</si>
  <si>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</si>
  <si>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</si>
  <si>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</si>
  <si>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</si>
  <si>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</si>
  <si>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</si>
  <si>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</si>
  <si>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</si>
  <si>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</si>
  <si>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</si>
  <si>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</si>
  <si>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</si>
  <si>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PROTOZOA,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</si>
  <si>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</si>
  <si>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</si>
  <si>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</si>
  <si>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</si>
  <si>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</si>
  <si>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</si>
  <si>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</si>
  <si>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</si>
  <si>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</si>
  <si>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TOXOPLASMA,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</si>
  <si>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</si>
  <si>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</si>
  <si>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</si>
  <si>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</si>
  <si>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VIRUS,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</si>
  <si>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</si>
  <si>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VIRUS,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</si>
  <si>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</si>
  <si>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</si>
  <si>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ANTIBODY,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</si>
  <si>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</si>
  <si>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</si>
  <si>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(EG, IMMUNOBLOT)                                                                                         </t>
  </si>
  <si>
    <t xml:space="preserve">LYMPHOCYTOTOXICITY ASSAY, VISUAL CROSS MATCH; WITH TITRATION                                                                                    </t>
  </si>
  <si>
    <t xml:space="preserve">********  WITHOUT TITRATION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</si>
  <si>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</si>
  <si>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SCREENING, QUICK METHOD                                                                                                                   </t>
  </si>
  <si>
    <t xml:space="preserve">HLA TYPING, A, B, OR C (EG, A-10, B-7, B-27), SINGLE ANTIGEN                                                                                    </t>
  </si>
  <si>
    <t xml:space="preserve">HLA TYPING, A,B, OR C , MULTIPLE ANTIGENS                                                                                                       </t>
  </si>
  <si>
    <t xml:space="preserve">HLA TYPING, DR/DQ, SINGLE ANTIGEN, PLEASE REVIEW 86817 OR PROVIDE MOREEXPLANATION                                                               </t>
  </si>
  <si>
    <t xml:space="preserve">HLA TYPING, DR/DQ, MULTIPLE ANTIGENS DELETED 0593 PRICE $100.20                                                                                 </t>
  </si>
  <si>
    <t xml:space="preserve">LYMPHOCYTE CULTURE, MIXED (MLC)                                                                                                                 </t>
  </si>
  <si>
    <t xml:space="preserve">HUMAN LEUKOCYTE ANTIGEN (HLA) CROSSMATCH, NON-CYTOTOXIC (EG, USING FLOW CYTOMETRY); FIRST SERUM SAMPLE OR DILUTION                              </t>
  </si>
  <si>
    <t xml:space="preserve">HUMAN LEUKOCYTE ANTIGEN (HLA) CROSSMATCH, NON-CYTOTOXIC (EG,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</si>
  <si>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</si>
  <si>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</si>
  <si>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ANTIBODYIDENTIFICATION BY QUALITATIVE PANEL USING COMPLETE HLA PHENOTYPE 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</si>
  <si>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</si>
  <si>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SPECIFICITIES, </t>
  </si>
  <si>
    <t xml:space="preserve">ASSESSMENT OF ANTIBODY TO HUMAN LEUKOCYTE ANTIGENS (HLA), HLA CLASS I                                                                           </t>
  </si>
  <si>
    <t xml:space="preserve">ASSESSMENT OF ANTIBODY TO HUMAN LEUKOCYTE ANTIGENS (HLA) WITH SOLID PHASE ASSAYS, HLA CLASS II                                                  </t>
  </si>
  <si>
    <t xml:space="preserve">ANTIBODY SCREEN, RBC, EACH SERUM TECHNIQUE (PART OF 80055)                                                                                      </t>
  </si>
  <si>
    <t xml:space="preserve">ANTIHUMAN GLOBULIN TEST (COOMBS TEST); DIRECT, EACH ANTISERUM                                                                                   </t>
  </si>
  <si>
    <t xml:space="preserve">ANTIHUMAN GLOBULIN TEST (COOMBS TEST); INDIRECT, QUALITATIVE, EACH REAGENT RED  CELL                                                            </t>
  </si>
  <si>
    <t xml:space="preserve">ANTIHUMAN GLOBULIN TEST (COOMBS TEST); INDIRECT,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</si>
  <si>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</si>
  <si>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, RH (D)                                                                                                                           </t>
  </si>
  <si>
    <t xml:space="preserve">BLOOD TYPING; ANTIGEN TESTING OF DONOR BLOOD USING REAGENT SERUM, EACH ANTIGEN  TEST                                                            </t>
  </si>
  <si>
    <t xml:space="preserve">........ANTIGEN SCREENING FOR COMPATIBLE UNIT USING PATIENT SERUM, PER  UNIT SCREENED                                                           </t>
  </si>
  <si>
    <t xml:space="preserve">BLOOD TYPING RBC ANTIGENS, OTHER THAN ABO OR RH (D), EACH                                                                                       </t>
  </si>
  <si>
    <t xml:space="preserve">BLOOD TYPING, RH PHENOTYPING, COMPLETE                                                                                                          </t>
  </si>
  <si>
    <t xml:space="preserve">HEMOLYSINS AND AGGLUTININS, AUTO, SCREEN, EACH;                                                                                                 </t>
  </si>
  <si>
    <t xml:space="preserve">HEMOLYSINS AND AGGLUTININS,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</si>
  <si>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</si>
  <si>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TYPE), FOR INFECTIOUS AGENTS                                                                                                 </t>
  </si>
  <si>
    <t xml:space="preserve">CULTURE, BACTERIAL; BLOOD, AEROBIC, WITH ISOLATION AND PRESUMPTIVE IDENTIFICATION OF ISOLATES (INCLUDES ANAEROBIC CULTURE, IF APPRO             </t>
  </si>
  <si>
    <t xml:space="preserve">CULTURE, BACTERIAL; STOOL, AEROBIC, WITH ISOLATION AND PRELIMINARY EXAMINATION  (EG, KIA, LIA), SALMONELLA AND SHIGELLA SPECIES                 </t>
  </si>
  <si>
    <t xml:space="preserve">CULTURE, BACTERIAL; STOOL, AEROBIC, ADDITIONAL PATHOGENS, ISOLATION AND PRESUMPTIVE IDENTIFICATION OF ISOLATES, EACH PLATE                      </t>
  </si>
  <si>
    <t xml:space="preserve">CULTURE, BACTERIAL; ANY OTHER SOURCE EXCEPT URINE, BLOOD OR STOOL, AEROBIC, WITH ISOLATION AND PRESUMPTIVE IDENTIFICATION OF ISOLATES           </t>
  </si>
  <si>
    <t xml:space="preserve">CULTURE, BACTERIAL; QUANTITATIVE, AEROBIC WITH ISOLATION AND PRESUMPTIVE IDENTIFICATION OF ISOLATES, ANY SOURCE EXCEPT URINE, BLOOD OR ST       </t>
  </si>
  <si>
    <t xml:space="preserve">CULTURE, BACTERIAL; QUANTITATIVE, ANAEROBIC WITH ISOLATION AND PRESUMPTIVE IDENTIFICATION OF ISOLATES, ANY SOURCE EXCEPT URINE, BLOOD OR ST     </t>
  </si>
  <si>
    <t xml:space="preserve">CULTURE, BACTERIAL; ANY SOURCE, EXCEPT BLOOD, ANAEROBIC WITH ISOLATIONAND PRESUMPTIVE IDENTIFICATION OF ISOLATES                                </t>
  </si>
  <si>
    <t xml:space="preserve">CULTURE, BACTERIAL; ANAEROBIC ISOLATE, ADDITIONAL METHODS REQUIRED FORDEFINITIVE IDENTIFICATION, EACH ISOLATE                                   </t>
  </si>
  <si>
    <t xml:space="preserve">CULTURE, BACTERIAL; AEROBIC ISOLATE, ADDITIONAL METHODS REQUIRED FOR DEFINITIVE IDENTIFICATION, EACH ISOLATE                                    </t>
  </si>
  <si>
    <t xml:space="preserve">CULTURE, PRESUMPTIVE, PATHOGENIC ORGANISMS,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</si>
  <si>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</si>
  <si>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CULTURE, BACTERIAL; QUANTITATIVE COLONY COUNT, URINE                                                                                            </t>
  </si>
  <si>
    <t xml:space="preserve">CULTURE, BACTERIAL; WITH ISOLATION AND PRESUMPTIVE IDENTIFICATION OF EACH ISOLATE, URINE                                                        </t>
  </si>
  <si>
    <t xml:space="preserve">CULTURE, FUNGI (MOLD OR YEAST) ISOLATION, WITH PRESUMPTIVE IDENTIFICATION OF ISOLATES; SKIN, HAIR, OR NAIL                                      </t>
  </si>
  <si>
    <t xml:space="preserve">****** OTHER SOURCE (EXCEPT BLOOD)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</si>
  <si>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</si>
  <si>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CULTURE, FUNGI, DEFINITIVE IDENTIFICATION, EACH ORGANISM; YEAST                                                                                 </t>
  </si>
  <si>
    <t xml:space="preserve">CULTURE, FUNGI, DEFINITIVE IDENTIFICATION, EACH ORGANISM; MOLD                                                                                  </t>
  </si>
  <si>
    <t xml:space="preserve">CULTURE, MYCOPLASMA, ANY SOURCE (CRVS OF 8998 AS OF 11\82)                                                                                      </t>
  </si>
  <si>
    <t xml:space="preserve">CULTURE, CHLAMYDIA, ANY SOURCE                                                                                                                  </t>
  </si>
  <si>
    <t xml:space="preserve">CULTURE, TUBERCLE OR OTHER ACID-FAST BACILLI (EG, TB, AFB, MYCOBACTERIA) ANY SOURCE, WITH ISOLATION AND PRESUMPTIVE IDENTIFICATION OF ISOLATE   </t>
  </si>
  <si>
    <t xml:space="preserve">CULTURE, MYCOBACTERIAL, DEFINITIVE IDENTIFICATION, EACH ISOLATE                                                                                 </t>
  </si>
  <si>
    <t xml:space="preserve">CULTURE, TYPING; IMMUNOFLUORESCENT METHOD, EACH ANTISERUM                                                                                       </t>
  </si>
  <si>
    <t xml:space="preserve">CULTURE, TYPING; GAS LIQUID CHROMATOGRAPHY (GLC) OR HIGH PRESSURE LIQUID CHROMATOGRAPHY (HPLC) METHOD                                           </t>
  </si>
  <si>
    <t xml:space="preserve">CULTURE, TYPING; IMMUNOLOGIC METHOD, OTHER THAN IMMUNOFLUORESENCE (EG,AGGLUTINATION GROUPING), PER ANTISERUM                                    </t>
  </si>
  <si>
    <t xml:space="preserve">CULTURE, TYPING; IDENTIFICATION BY NUCLEIC ACID (DNA OR RNA) PROBE, DIRECT PROBE TECHNIQUE, PER CULTURE OR ISOLATE, EACH ORGANISM PROBED        </t>
  </si>
  <si>
    <t xml:space="preserve">CULTURE, TYPING; IDENTIFICATION BY NUCLEIC ACID (DNA OR RNA) PROBE, AMPLIFIED PROBE TECHNIQUE, PER CULTURE OR ISOLATE, EACH ORGANISM PROBED     </t>
  </si>
  <si>
    <t xml:space="preserve">CULTURE, TYPING; IDENTIFICATION BY PULSE FIELD GEL TYPING                                                                                       </t>
  </si>
  <si>
    <t xml:space="preserve">CULTURE, TYPING; IDENTIFICATION BY NUCLEIC ACID SEQUENCING METHOD, EACH ISOLATE (EG, SEQUENCING OF THE 16S RRNA GENE)                           </t>
  </si>
  <si>
    <t xml:space="preserve">Amplifed nucleic acid probe typing of disease agent in blood culture specimen 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</si>
  <si>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</si>
  <si>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EXAMINATION,ANY SOURCE (EG, PENILE,VAGINAL, ORAL, SKIN) INCLUDES SPECIMEN COLLECTION                                                 </t>
  </si>
  <si>
    <t xml:space="preserve">DARK FIELD EXAM,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</si>
  <si>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</si>
  <si>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</si>
  <si>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(EG, CELLOPHANE TAPE PREP)                                                                                                         </t>
  </si>
  <si>
    <t xml:space="preserve">HOMOGENIZATION, TISSUE, FOR CULTURE                                                                                                             </t>
  </si>
  <si>
    <t xml:space="preserve">OVA AND PARASITES, DIRECT SMEARS, CONCENTRATION AND IDENTIFICATION (AFTER 11\82 PRICE AT 8323 + 8321)                                           </t>
  </si>
  <si>
    <t xml:space="preserve">SUSCEPTIBILITY STUDIES, ANTIMICROBIAL AGENT; AGAR DILUTION METHOD, PERAGENT (EG, ANTIBIOTIC GRADIENT STRIP)                                     </t>
  </si>
  <si>
    <t xml:space="preserve">SUSCEPTIBILITY STUDIES, ANTIMICROBIAL AGENT; DISK METHOD, PER PLATE (12 OR FEWER AGENTS)                                                        </t>
  </si>
  <si>
    <t xml:space="preserve">SUSCEPTIBILITY STUDIES, ANTIMICROBIAL AGENT, ENZYME DETECTION, PER ENZYME                                                                       </t>
  </si>
  <si>
    <t xml:space="preserve">SUSCEPTIBILITY STUDIES, ANTIMICROBIAL AGENT; MICRODILUTION OR AGAR DILUTION MULTI-ANTIMICROBIAL, PER PLATE                                      </t>
  </si>
  <si>
    <t xml:space="preserve">SUSCEPTIBILITY STUDIES, ANTIMICROBIAL AGENT; MICRODILUTION OR AGAR DILUTION,MINIMUM LETHAL CONCENTRATION (MLC), EACH PLATE                      </t>
  </si>
  <si>
    <t xml:space="preserve">SUSCEPTIBILITY STUDIES, ANTIMICROBIAL AGENT; MACROBROTH DILUTION METHOD, EACH AGENT                                                             </t>
  </si>
  <si>
    <t xml:space="preserve">SUSCEPTIBILITY STUDIES, ANTIMICROBIAL AGENT; MYCOBACTERIA, PROPORTION METHOD,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</si>
  <si>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</si>
  <si>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SMEAR, PRIMARY SOURCE WITH INTERPRETATION; GRAM OR GIEMSA STAIN FOR BACTERIA, FUNGI, OR CELL TYPES                                              </t>
  </si>
  <si>
    <t xml:space="preserve">SMEAR, PRIMARY SOURCE WITH INTERPRETATION; FLUORESCENT AND/OR ACID FAST STAIN FOR BACTERIA, FUNGI, PARASITES, VIRUSES OR CELL TYPES             </t>
  </si>
  <si>
    <t>SMEAR, PRIMARY SOURCE WITH INTERPRETATION; SPECIAL STAIN FOR INCLUSION BODIES OR PARASITES (EG:MALARIA, COCCIDIA, MICROSPORIDIA, TRYPANOSOMES, H</t>
  </si>
  <si>
    <t xml:space="preserve">SMEAR, PRIMARY SOURCE WITH INTERPRETATION; COMPLEX SPECIAL STAIN (EG, TRICHROME, IRON HEMOTOXYLIN) FOR OVA AND PARASITES                        </t>
  </si>
  <si>
    <t xml:space="preserve">SMEAR, PRIMARY SOURCE WITH INTERPRETATION; WET MOUNT FOR INFECTIOUS AGENTS (EG, SALINE, INDIA INK, KOH PREPS)                                   </t>
  </si>
  <si>
    <t xml:space="preserve">SMEAR, PRIMARY SOURCE WITH INTERPRETATION; WET MOUNT FOR INFECTIOUS AGENTS (EG: SALINE, INDIA INK, KOH PREPS).                                  </t>
  </si>
  <si>
    <t xml:space="preserve">TISSUE EXAMINATION BY KOH SLIDE OF SAMPLES FROM SKIN, HAIR, OR NAILS FOR FUNGI  OR ECTOPARASITE OVA OR MITES (EG, SCABIES)                      </t>
  </si>
  <si>
    <t xml:space="preserve">TOXIN OR ANTITOXIN ASSAY, TISSUE CULTURE (EG, CLOSTRIDIUM DIFFICILE TOXIN)                                                                      </t>
  </si>
  <si>
    <t xml:space="preserve">VIRUS ISOLATION; INOCULATION OF EMBRYONATED EGGS, OR SMALL ANIMAL, INCLUDES OBSERVATION AND DISSECTION                                          </t>
  </si>
  <si>
    <t xml:space="preserve">VIRUS ISOLATION; TISSUE CULTURE INOCULATION, OBSERVATION, AND PRESUMPTIVE IDENTIFICATION BY CYTOPATHIC EFFECT                                   </t>
  </si>
  <si>
    <t xml:space="preserve">VIRUS ISOLATION; TISSUE CULTURE, ADDITIONAL STUDIES OR DEFINITIVE EACHISOLATE                                                                   </t>
  </si>
  <si>
    <t xml:space="preserve">VIRUS ISOLATION; CENTRIFUGE ENHANCED (SHELL VIAL) TECHNIQUE, INCLUDES IDENTIFICATION WITH IMMUNOFLUORESCENCE STAIN, EACH VIRUS                  </t>
  </si>
  <si>
    <t xml:space="preserve">VIRUS ISOLATION; INCLUDING IDENTIFICATION BY NON-IMMUNOLOGIC METHOD, OTHER THAN BY CYTOPATHIC EFFECT (EG,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</si>
  <si>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</si>
  <si>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TECH- NIQUE; BORDETELLA PERTUSSIS/PARAPERTUSSIS                               </t>
  </si>
  <si>
    <t xml:space="preserve">INFECTIOUS AGENT ANTIGEN DETECTION BY IMMUNOFLUORESCENT TECHNIQUE; ENTEROVIRUS,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</si>
  <si>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</si>
  <si>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</si>
  <si>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CYTOMEGALOVIRUS,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</si>
  <si>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</si>
  <si>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</si>
  <si>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</si>
  <si>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</si>
  <si>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TECH.;INFLUENZA A VIRUS                                                       </t>
  </si>
  <si>
    <t xml:space="preserve">INFECTIOUS AGENT ANTIGEN DETECTION BY DIRECT FLUORESCENT ANTIBODY TECH.;LEGIONELLA PNEUMOPHILA                                                  </t>
  </si>
  <si>
    <t xml:space="preserve">INFECTIOUS AGENT ANTIGEN DETECTION BY IMMUNOFLUORESCENT TECHNIQUE; PARAINFLUENZA VIRUS, EACH TYPE                                               </t>
  </si>
  <si>
    <t xml:space="preserve">INFECTIOUS AGENT ANTIGEN DETECTION BY DIRECT FLUORESCENT ANTIBODY TECH.;RESPIRATORY SYNCYTIAL VIRUS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</si>
  <si>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</si>
  <si>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</si>
  <si>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TECH,;TREPONEMA PALIDUM                                                       </t>
  </si>
  <si>
    <t xml:space="preserve">INFECTIOUS AGENT ANTIGEN DETECTION BY DIRECT FLUORESCENT ANTIBODY TECH.;VARICELLA ZOSTER VIRUS                                                  </t>
  </si>
  <si>
    <t xml:space="preserve">INFECTIOUS AGENT ANTIGEN DETECTION BY IMMUNOFLUORESCENT TECHNIQUE; NOTOTHERWISE SPECIFIED, EACH ORGANISM                                        </t>
  </si>
  <si>
    <t xml:space="preserve">INFECTIOUS AGENT ANTIGEN DETECTION BY IMMUNOFLUORESCENT TECHNIQUE, POLYVALENT   FOR MULTIPLE ORGANISMS, EACH POLYVALENT ANTISERUM               </t>
  </si>
  <si>
    <t xml:space="preserve">INFECTIOUS AGENT ANTIGEN DETECTION BY ENZYME IMMUNOASSAY TECHNIQUE, QUALITATIVE OR SEMIQUANTITATIVE, MULTIPLE STEP METHOD; ADENO VIRUS ENTER    </t>
  </si>
  <si>
    <t xml:space="preserve">INFECTIOUS AGENT ANTIGEN DETECTION BY ENZYME IMMUNOASSAY TECHNIQUE, QUALITATIVE OR SEMIQUANTITATIVE,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</si>
  <si>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</si>
  <si>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TECHNIQUE, QUALITATIVE OR SEMIQUANTITATIVE, MULTIPLE STEP METHOD; CLOSTRIDIUM DIFFICILE</t>
  </si>
  <si>
    <t>INFECTIOUS AGENT ANTIGEN DETECTION BY ENZYME IMMUNOASSAY TECHNIQUE, QUALITATIVE OR SEMIQUANTITATIVE, MULTIPLE STEP METHOD; CRYPTOCOCCUS NEOFORMA</t>
  </si>
  <si>
    <t xml:space="preserve">INFECTIOUS AGENT ANTIGEN DETECTION BY ENZYME IMMUNOASSAY TECHNIQUE, QUALITATIVE OR SEMIQUANTITATIVE, MULTIPLE STEP METHOD; CRYPTOSPORIDIUM      </t>
  </si>
  <si>
    <t xml:space="preserve">INFECTIOUS AGENT ANTIGEN DETECTION BY ENZYME IMMUNOASSAY TECHNIQUE, QUALITATIVE OR SEMIQUANTITATIVE,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</si>
  <si>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</si>
  <si>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</si>
  <si>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TECHNIQUE, QUALITATIVE OR SEMIQUANTITATIVE, MULTIPLE STEP METHOD; ENTAMOEBA HISTOLYTICA</t>
  </si>
  <si>
    <t>INFECTIOUS AGENT ANTIGEN DETECTION BY ENZYME IMMUNOASSEY TECHNIQUE, QUALITATIVE OR SEMIQUANTITATIV,MULTIPLE STEP METHOD;HELICOBACTER PYLORI,STOO</t>
  </si>
  <si>
    <t xml:space="preserve">INFECTIOUS AGENT ANTIGEN DETECT BY ENZYME IMMUOASSEY TECHNIQ, QUALITATIVE OR SEMIQUANTITATIVE, MULT STEP METHOD;HELICOBACTER PYLORI, STOOL      </t>
  </si>
  <si>
    <t xml:space="preserve">INFECTIOUS AGENT ANTIGEN DETECTION BY ENZYME IMMUNOASSAY TECHNIQUE, QUALITATIVE OR SEMIQUANTITATIVE, MULTIPLE STEP METHOD; HELICOBACTER PYLORI  </t>
  </si>
  <si>
    <t xml:space="preserve">INFECTIOUS AGENT ANTIGEN DETECTION BY ENZYME IMMUNOASSAY TECHNIQUE; HEPATITIS B SURFACE ANTIGEN, (HBSAG) PART OF 80055 OR 80059                 </t>
  </si>
  <si>
    <t xml:space="preserve">INFECTIOUS AGENT ANTIGEN DETECTION BY ENZYME IMMUNOASSAY TECHNIQUE, QUALITATIVE NEUTRALIZATION                                                  </t>
  </si>
  <si>
    <t xml:space="preserve">INFECTIOUS AGENT ANTIGEN DETECTION BY ENZYME IMMUNOASSAY TECHNIQUE; HEPATITIS BE ANTIGEN HBEAG                                                  </t>
  </si>
  <si>
    <t xml:space="preserve">INFECTIOUS AGENT ANTIGEN DETECTION BY ENZYME IMMUNOASSAY TECHNIQUE; HEPATITIS,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</si>
  <si>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</si>
  <si>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ANTIGEN(S), WITH HIV-1 AND HIV-1 ANTIBODIES, SINGLE RESULT                                                                                </t>
  </si>
  <si>
    <t xml:space="preserve">HIV-1 ANTIGEN(S), WITH HIV-1 AND HIV-1 ANTIBODIES,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</si>
  <si>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</si>
  <si>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</si>
  <si>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TECHNIQUE, QUALITATIVE OR SEMIQUANTITATIVE, MULTIPLE STEP METHOD; INFLUENZA, A OR B, EA</t>
  </si>
  <si>
    <t xml:space="preserve">DETECTION BY IMMUNOASSAY TECHNIQUE FOR INFLUENZA VIRUS******************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</si>
  <si>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</si>
  <si>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</si>
  <si>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</si>
  <si>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</si>
  <si>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 (E, ENZYME IMMUNOASSAY ^EIA¦, ENZYME-LIKED IMMUNOSORBENT ASSAY ^ELISA¦,            </t>
  </si>
  <si>
    <t xml:space="preserve">INFECTIOUS AGENT ANTIGEN DETECTION BY ENZYME IMMUNOASSAY TECHNIQUE, QUALITATIVE OR SEMIQUANTITATIVE, MULTIPLE STEP METHOD; SHIGA-LIKE TOXIN     </t>
  </si>
  <si>
    <t xml:space="preserve">INFECTIOUS AGENT ANTIGEN DETECTION BY IMMUNOASSAY TECHNIQUE,(EG, ENZYME IMMUNOASSAY ÝEIA¨, ENZYME-LINKED IMMUNOSORBENT ASSAY ÝELISA¨, FLUORESC  </t>
  </si>
  <si>
    <t xml:space="preserve">INFECTIOUS AGENT ANTIGEN DETECTION BY IMMUNOASSAY TECHINIQUE (EG, ENZYMEIMMUNOASSAY, ENZYME-LINKED, IMMUNOSORBENT ASSAY, FLUORESC               </t>
  </si>
  <si>
    <t xml:space="preserve">INFECTIOUS AGENT ANTIGEN DETECTION BY ENZYME IMMUNOASSAY TECHNIQUE; STRPTOCOCCUS,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</si>
  <si>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</si>
  <si>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</si>
  <si>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METHOD, NOT OTHERWISE SPEC, EA ORG</t>
  </si>
  <si>
    <t xml:space="preserve">INFECTIOUS AGENT ANTIGEN DETECTION BY ENZYME IMMUNOASSAY TECHNIQUE QUALITATIVE  EACH POLYVALENT ANTISERUM                                       </t>
  </si>
  <si>
    <t xml:space="preserve">Measurement of Hepatitis B surface antigen (HBsAg                                                                                               </t>
  </si>
  <si>
    <t xml:space="preserve">Detection of Anaplasma phagocytophilum by amplified nucleic acid probe technique                                                                </t>
  </si>
  <si>
    <t xml:space="preserve">Detection of Babesia microtim by amplified nucleic acid probe technique                                                                         </t>
  </si>
  <si>
    <t xml:space="preserve">INFECTIOUS AGENT DETECTION BY NUCLEIC ACID BARTONELLA HENSELAE AND BART.QUINTANA, AMPLIFIED PROBE TECHNIQUE                                     </t>
  </si>
  <si>
    <t xml:space="preserve">INFECTIOUS AGENT DETECTION BY NUCLEIC ACID; BARTONELLA HENSELAE AND QUINTANA, QUANTIFICTION                                                     </t>
  </si>
  <si>
    <t xml:space="preserve">INFECTIOUS AGENT DETECTION BY NUCLEIC ACID; BORRELIA BURGDORDERI, DIRECTPROBE TECHNIQUE                                                         </t>
  </si>
  <si>
    <t xml:space="preserve">INFECTIOUS AGENT DETECTION BY NUCLEIC ACID; BORRELIA BURGDORFERI, AMPLIFIED PROBE TECHNIQUE                                                     </t>
  </si>
  <si>
    <t xml:space="preserve">Detection of Babesia Borrelia miyamotoi by amplified nucleic acid probe techniqu                                                                </t>
  </si>
  <si>
    <t xml:space="preserve">INFECTIOUS AGENT DETECTION BY NUCLEIC ACID; CANDIDA SPECIES, DIRECT PROBE TECHNIQUE                                                             </t>
  </si>
  <si>
    <t xml:space="preserve">INFECTIOUS AGENT DETECTION BY NUCLEIC ACID; CANDIDA SPECIES, BY AMPLIFIED PROBE                                                                 </t>
  </si>
  <si>
    <t xml:space="preserve">INFECTIOUS AGENT DETECTION BY NUCLEIC ACID; CANDIDA SPECIES,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</si>
  <si>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</si>
  <si>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Detection of Ehrlichia chaffeensis by amplified nucleic acid probe technique                                                                    </t>
  </si>
  <si>
    <t xml:space="preserve">INFECTIOUS AGENT DETECTION BY NUCLEIC ACID; CHLAMYDIA PNEUMONIAE, DIRECTPROBE TECHNIQUE                                                         </t>
  </si>
  <si>
    <t xml:space="preserve">INFECTIOUS AGENT DETECTION BY NUCLEIC ACID; CHLAMYDIA PNEUMONIAE, AMPLIFIED PROBE TECHNIQUE                                                     </t>
  </si>
  <si>
    <t xml:space="preserve">INFECTIOUS AGENT DETECTION BY NUCLEIC ACID; CHLAMYDIA PNEUMONIAE, QUANTIFICATION                                                                </t>
  </si>
  <si>
    <t xml:space="preserve">INFECTIOUS AGENT DETECTION BY NUCLEIC ACID; CHLAMYDIA TRACHOMATIS, DIRECT PROBE TECHNIQUE                                                       </t>
  </si>
  <si>
    <t xml:space="preserve">INFECTIOUS AGENT DETECTION BY NUCLEIC ACID; CHLAMYDIA TRACHOMATIS, AMPLIFIED PROBE TECHNIQUE                                                    </t>
  </si>
  <si>
    <t xml:space="preserve">INFECTIOUS AGENT BY NUCLEIC ACID; CHLAMYDIA TRACHOMATIS, QUANTIFICATION                                                                         </t>
  </si>
  <si>
    <t xml:space="preserve">INFECTIOUS AGENT DETECTION BY NUCLEIC ACID (DNA OR RNA); CLOSTRIDIUM DIFFICILE, TOXIN GENE(S), AMPLIFIED PROBE TECHNIQUE                        </t>
  </si>
  <si>
    <t xml:space="preserve">INFECTIOUS AGENT DETECTION BY NUCLEIC ACID; CYTOMEGALOVIRUS, DIRECT PROBE TECHNIQUE                                                             </t>
  </si>
  <si>
    <t xml:space="preserve">INFECTIOUS AGENT DETECTION BY NUCLEIC ACID; CYTOMEGALOVIRUS, AMPLIFIED  PROBE TECHNIQUE                                                         </t>
  </si>
  <si>
    <t xml:space="preserve">INFECTIOUS AGENT DETECTION BY NUCLEIC ACID; CYTOMEGALOVIRUS, QUNATIFICATION                                                                     </t>
  </si>
  <si>
    <t xml:space="preserve">INFECTIOUS AGENT DETECTION BY NUCLEIC ACID (DNA OR RNA); ENTEROVIRUS, AMPLIFIED PROBE TECHNIQUE                                                 </t>
  </si>
  <si>
    <t>INFECTIOUS AGENT DETECTION BY NUCLEIC ACID (DNA OR RNA); VANCOMYCIN RESISTANCE  (EG, ENTEROCOCCUS SPECIES VAN A, VAN B), AMPLIFIED PROBE TECHNIQ</t>
  </si>
  <si>
    <t xml:space="preserve">INFECTIOUS AGENT DETECTION BY NUCLEIC ACID (DNA OR RNA); INFLUENZA VIRUS, REVERSE TRANSCRIPTION AND AMPLIFIED PROBE TECHNIQUE, EACH TYPE O      </t>
  </si>
  <si>
    <t xml:space="preserve">INFECTIOUS AGENT DETECTION BY NUCLEIC ACID (DNA OR RNA); INFLUENZA VIRUS, FOR MULTIPLE TYPES OR SUB-TYPES, REVERSE TRANSCRIPTION AND AMPLIFIED  </t>
  </si>
  <si>
    <t xml:space="preserve">INFECTIOUS AGENT DETECTION BY NUCLEIC ACID(DNA OR RNA); INFLUENZA VIRUS, FOR MULT TYPES OR SUB-TYPES, REVERSE TRANSCRIPTION AND AMPLIFIED       </t>
  </si>
  <si>
    <t xml:space="preserve">INFECTIOUS AGENT DETECTION BY NUCLEIC ACID (DNA OR RNA); INFLUENZA VIRUS, FOR MULTIPLE TYPES OR SUB-TYPES,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</si>
  <si>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</si>
  <si>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VAGINALIS, DIRECTPROBE TECHNIQUE                                                         </t>
  </si>
  <si>
    <t xml:space="preserve">INFECTIOUS AGENT DETECTION BY NUCLEIC ACID; GARDNERELLA VAGINALIS, AMPLIFIED PROBE                                                              </t>
  </si>
  <si>
    <t xml:space="preserve">INFECTIOUS AGENT DETECTION BY NUCLEIC ACID; GARDNERELLA VAGINALIS, QUANTIFICATION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</si>
  <si>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</si>
  <si>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VIRUS, QUANTIT.                                                                         </t>
  </si>
  <si>
    <t xml:space="preserve">INFECTIOUS AGENT DETECTION BY NUCLEIC ACID; HEPATITIS C, DIRECT PROBE                                                                           </t>
  </si>
  <si>
    <t xml:space="preserve">INFECTIOUS AGENT DETECTION BY NUCLEIC ACID; HEPATITIS C, AMPLIFIED PROBE                                                                        </t>
  </si>
  <si>
    <t xml:space="preserve">INFECTIOUS AGENT DETECTION BY NUCLEIC ACID; HEPATITIS C, QUANTIFICATION                                                                         </t>
  </si>
  <si>
    <t xml:space="preserve">Detection of Hepatitis D (delta)                                                                                                                </t>
  </si>
  <si>
    <t xml:space="preserve">INFECTIOUS AGENT DETECTION BY NUCLEIC ACID; HEPATITIS G, DIRECT                                                                                 </t>
  </si>
  <si>
    <t xml:space="preserve">INFECTIOUS AGENT DETECTION BY NUCLEIC ACID; HEPATITIS G, AMPLIFIED PROBE                                                                        </t>
  </si>
  <si>
    <t xml:space="preserve">INFECTIOUS AGENT DETECTION BY NUCLEIC ACID; HEPATITIS G, QUANTIFICATION                                                                         </t>
  </si>
  <si>
    <t xml:space="preserve">INFECTIOUS AGENT DETECTION BY NUCLEIC ACID; HERPES SIMPLEX, DIRECT                                                                              </t>
  </si>
  <si>
    <t xml:space="preserve">INFECTIOUS AGENT DETECTION BY NUCLEIC ACID; HERPES SIMPLEX, AMPLIFIED                                                                           </t>
  </si>
  <si>
    <t xml:space="preserve">INFECTIOUS AGENT DETECTION BY NUCLEIC ACID; HERPES SIMPLEX, QUANTIFICATION                                                                      </t>
  </si>
  <si>
    <t xml:space="preserve">INFECTIOUS AGENT DETECTION BY NUCLEIC ACID; HERPES VIRUS-6, DIRECT PROBE                                                                        </t>
  </si>
  <si>
    <t xml:space="preserve">INFECTIOUS AGENT DETECTION BY NUCLEIC ACID; HERPES VIRUS-6, AMPLIFIED                                                                           </t>
  </si>
  <si>
    <t xml:space="preserve">INFECTIOUS AGENT DETECTION BY NUCLEIC ACID;HERPES VIRUS-6, QUANTIFICATION                                                                       </t>
  </si>
  <si>
    <t xml:space="preserve">INFECTIOUS AGENT DETECTION BY NUCLEIC ACID; HIV-1, DIRECT PROBE                                                                                 </t>
  </si>
  <si>
    <t xml:space="preserve">INFECTIOUS AGENT DETECTION BY NUCLEIC ACID; HIV-1, AMPLIFIED NOT VIRALLOAD--SEE 87536 FOR VIRAL LOAD TESTING                                    </t>
  </si>
  <si>
    <t xml:space="preserve">INFECTIOUS AGENT DETECTION BY NUCLEIC ACID; HIV-1, QUANTITATIVE VIRAL LOAD TESTING                                                              </t>
  </si>
  <si>
    <t xml:space="preserve">INFECTIOUS AGENT DETECTION BY NUCLEIC ACID; HIV-2, DIRECT                                                                                       </t>
  </si>
  <si>
    <t xml:space="preserve">INFECTIOUS AGENT DETECTION; HIV-2, AMPLIFIED                                                                                                    </t>
  </si>
  <si>
    <t xml:space="preserve">INFECTIOUS AGENT DETECTION; HIV-2, QUANTIFICATION                                                                                               </t>
  </si>
  <si>
    <t xml:space="preserve">INFECTIOUS AGENT DETECTION; LEGIONELLA PNEUMOPHILA, DIRECT                                                                                      </t>
  </si>
  <si>
    <t xml:space="preserve">INFECTIOUS AGENT DETECTION; LEGIONELLA PNEUMOPHILA, AMPLIFIED                                                                                   </t>
  </si>
  <si>
    <t xml:space="preserve">INFECTIOUS AGENT DETECTION; LEGIONELLA PNEUMOPHILA, QUANTIFICATION                                                                              </t>
  </si>
  <si>
    <t xml:space="preserve">INFECTIOUS AGENT DETECTION; MYCOBACTERIA SPECIES, DIRECT                                                                                        </t>
  </si>
  <si>
    <t xml:space="preserve">INFECTIOUS AGENT DETECTION; MYCOBACTERIA SPECIES, AMPLIFIED                                                                                     </t>
  </si>
  <si>
    <t xml:space="preserve">INFECTIOUS AGENT DETECTION; MYCOBACTERIA SPECIES,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</si>
  <si>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</si>
  <si>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TUBERCULOSIS, AMPLIFIED                                                                                </t>
  </si>
  <si>
    <t xml:space="preserve">INFECTIOUS AGENT DETECTION; MYCOBACTERIA TUBERCULOSIS, QUANTIFICATION                                                                           </t>
  </si>
  <si>
    <t xml:space="preserve">INFECTIOUS AGENT DETECTION; MYCOBACTERIA AVIUM-INTRACELLULARE, DIRECT                                                                           </t>
  </si>
  <si>
    <t xml:space="preserve">INFECTIOUS AGENT DETECTION; MYCOBACTERIA AVIUM-INTRACELLULAR, AMPLIFIED                                                                         </t>
  </si>
  <si>
    <t xml:space="preserve">INFECTIOUS AGENT DETECTION; MYCOBACTERIA AVIUM-INTRACELLULARE,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</si>
  <si>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</si>
  <si>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PNEUMONIAE, DIRECT                                                                                       </t>
  </si>
  <si>
    <t xml:space="preserve">INFECTIOUS AGENT DETECTION: MYCOPLASMA PNEUMONIAE, AMPLIFIED                                                                                    </t>
  </si>
  <si>
    <t xml:space="preserve">INFECTIOUS AGENT DETECTION; MHCOPLASMA PNEUMONIAE, QUANTIFICATION                                                                               </t>
  </si>
  <si>
    <t xml:space="preserve">INFECTIOUS AGENT DETECTION; NEISSERIA GONORRHOEAE, DIRECT                                                                                       </t>
  </si>
  <si>
    <t xml:space="preserve">INFECTIOUS AGENT DETECTION; NEISSERIA GONORRHOEAE, AMPLIFIED                                                                                    </t>
  </si>
  <si>
    <t xml:space="preserve">INFECTIOUS AGENT DETECTION; NEISSERIA GONORRHOEAE, QUANTIFICATION                                                                               </t>
  </si>
  <si>
    <t xml:space="preserve">Infectious agent detection by nucleic acid (dna or rna); orthopoxvirus (eg, monk                                                                </t>
  </si>
  <si>
    <t xml:space="preserve">DETECTION TEST FOR HUMAN LOMAVIRUS (HPV)                 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</si>
  <si>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</si>
  <si>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DETECTION TEST FOR HUMAN PAPILLOMAVIRUS(HPV)                                                                                                    </t>
  </si>
  <si>
    <t xml:space="preserve">DETECTION TEST FOR RESPIRATORY VIRUS, MULTIPLEX REVERSE TRANSCRIPTION AND AMPLIFIED PROBE TECHNIQUE, MULTIPLE TYPES OR SUBTYPES, 3-5 TARGE      </t>
  </si>
  <si>
    <t xml:space="preserve">DETECTION TEST FOR RESPIRATORY VIRUS, MULTIPLEX REVERSE TRANSCRIPTION AND AMPLIFIED PROBE TECHNIQUE, MULTIPLE TYPES OR SUBTYPES, 6-11 TARG      </t>
  </si>
  <si>
    <t xml:space="preserve">DETECTION TEST FOR RESPIRATORY VIRUS, MULTIPLEX REVERSE TRANSCRIPTION AND AMPLIFIED PROBE TECHNIQUE, MULTIPLE TYPES OR SUBTYPES, 12-25TAR       </t>
  </si>
  <si>
    <t xml:space="preserve">DETECTION TEST FOR RESPIRATORY VIRUS, MULTIPLEX REVERSE TRANSCRIPTION AND AMPLIFIED PROBE TECHNIQUE,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</si>
  <si>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</si>
  <si>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</si>
  <si>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</si>
  <si>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</si>
  <si>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ÝCO  </t>
  </si>
  <si>
    <t xml:space="preserve">INFECTIOUS AGENT DETECTION BY NUCLEIC ACID (DNA OR RNA); STAPHYLOCOCCUS AUREUS, AMPLIFIED PROBE TECHNIQUE                                       </t>
  </si>
  <si>
    <t xml:space="preserve">INFECTIOUS AGENT DETECTION BY NUCLEIC ACID (DNA OR RNA); STAPHYLOCOCCUS AUREUS, METHICILLIN RESISTANT, AMPLIFIED PROBE TECHNIQUE                </t>
  </si>
  <si>
    <t xml:space="preserve">INFECTIOUS AGENT DETECTION; STREPTOCOCCUS, GROUP A, DIRECT                                                                                      </t>
  </si>
  <si>
    <t xml:space="preserve">INFECTIOUS AGENT DETECTION; STREPTOCOCCUS, GROUP A, AMPLIFIED                                                                                   </t>
  </si>
  <si>
    <t xml:space="preserve">INFECTIOUS AGENT DETECTION; STREPTOCOCCUS, GROUP A AMPLIFIED                                                                                    </t>
  </si>
  <si>
    <t xml:space="preserve">INFECTIOUS AGENT DETECTION; STREPTOCOCCUS, GROUP A, QUANTIFICATION                                                                              </t>
  </si>
  <si>
    <t xml:space="preserve">INFECTIOUS AGENT DETECTION BY NUCLEIC ACID (DNA OR RNA); STREPTOCOCCUS, GROUP B, AMPLIFIED PROBE TECHNIQUE                                      </t>
  </si>
  <si>
    <t xml:space="preserve">INFECTIOUS AGENT DETECTION BY NUCLEIC ACID (DNA OR RNA); TRICHOMONAS VAGINALIS, DIRECT PROBE TECHNIQUE                                          </t>
  </si>
  <si>
    <t xml:space="preserve">INFECTIOUS AGENT DETECTION BY NUCLEIC ACID (DNA OR RNA), TRICHOMONAS VAGINALIS,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</si>
  <si>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</si>
  <si>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RNA), NOT OTHERWISESPECIFIED; DIRECT PROBE TECHNIQUE, EACH ORGANISM                          </t>
  </si>
  <si>
    <t xml:space="preserve">INFECTIOUS AGENT DETECTION BY NUCLEIC ACID (DNA OR RNA), NOT OTHERWISESPECIFIED; AMPLIFIED PROBE TECHNIQUE, EACH ORGANISM                       </t>
  </si>
  <si>
    <t xml:space="preserve">INFECTIOUS AGENT DETECTION BY NUCLEIC ACID (DNA OR RNA), NOT OTHERWISESPECIFIED; QUANTIFICATION, EACH ORGANISM                                  </t>
  </si>
  <si>
    <t xml:space="preserve">INFECTIOUS AGENT DETECTION BY NUCLEIC ACID (DNA OR RNA), MULTIPLE ORGANISMS; DIRECT PROBE(S) TECHNIQUE                                          </t>
  </si>
  <si>
    <t xml:space="preserve">INFECTIOUS AGENT DETECTION BY NUCLEIC ACID (DNA OR RNA), MULTIPLE ORGANISMS; AMPLIFIED PROBE(S) TECHNIQUE                                       </t>
  </si>
  <si>
    <t xml:space="preserve">INFECTIOUS AGENT ANTIGEN DETECTION BY IMMUNOASSAY WITH DIRECT OPTICAL OBSERVATION; STREPTOCOCCUS,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</si>
  <si>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</si>
  <si>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</si>
  <si>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</si>
  <si>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</si>
  <si>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</si>
  <si>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</si>
  <si>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</si>
  <si>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</si>
  <si>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</si>
  <si>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</si>
  <si>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</si>
  <si>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STRPTOCOCCUS, GROUP A                                                                                               </t>
  </si>
  <si>
    <t xml:space="preserve">INFECTIOUS AGENT DETECTION; STREPTOCOCCUS,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</si>
  <si>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</si>
  <si>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</si>
  <si>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</si>
  <si>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RNA), HIV 1,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</si>
  <si>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</si>
  <si>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ANALYSIS, HIV 1; FIRST THROUGH 10 DRUG     </t>
  </si>
  <si>
    <t>INFECTIOUS AGENT PHENOTYPE ANALYSIS BY NUCLEIC ACID (DNA OR RNA) WITH DRUG RESISTANCE TISSUE CULTURE ANALYSIS, HIV 1; EACH ADDITIONAL DRUG 1 THR</t>
  </si>
  <si>
    <t xml:space="preserve">INFECTIOUS AGENT ENZYMATIC ACTIVITY OTHER THAN VIRUS (EG, SIALIDASE ACTIVITY IN VAGINAL FLUID)                                                  </t>
  </si>
  <si>
    <t xml:space="preserve">INFECTIOUS AGENT ENQYMATIC ACTIVITY OTHER THAN VIRUS (EG, SIALIDASE ACTIVITY IN VAGINAL FLUID)                                                  </t>
  </si>
  <si>
    <t xml:space="preserve">INFECTIOUS AGENT GENOTYPE ANALYSIS BY NUCLEIC ACID (DNA OR RNA); HIV-1, OTHER REGION (EG, INTEGRASE,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</si>
  <si>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</si>
  <si>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</si>
  <si>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by nucleic acid (dna or rna); severe acute re                                                                </t>
  </si>
  <si>
    <t xml:space="preserve">BUCCAL SMEAR, CHROMATIN BODY FOR CHROMOSOMAL SEX DETERMINATION (BARR BODIES) 8920                                                               </t>
  </si>
  <si>
    <t xml:space="preserve">WHITE BLOOD CELL SMEAR, POLYMORPHONUCLEAR CELL DRUMSTICK FOR CHR0MOSOMAL SEX DETERMINATION 8921                                                 </t>
  </si>
  <si>
    <t>CYTOPATHOLOGY, CERVICAL OR VAGINAL(ANY REPORTING SYSTEM),COLLECTED IN PRESERVATIVE FLUID, AUTOMATED THIN LAYER PREPARATION)MANUAL SCREENING UNDE</t>
  </si>
  <si>
    <t>CYTOPATHOLGY, CERVICAL OR VAGINAL, COLLECTED IN PERSERVATIVE FLUID, AUTOMATED THIN LAYER PREPERATION; SCREENING/RESCREENING UNDER MD SUPERVISION</t>
  </si>
  <si>
    <t xml:space="preserve">CYTOPATHOLOGY SMEARS, CERVICAL OR VAGINAL; SCREENING BY AUTOMATED STSTEM UNDER PHYSICIAN SUPERVISION                                            </t>
  </si>
  <si>
    <t xml:space="preserve">CYTOPATHOLOGY SMEARS, CERVICAL OR VAGINAL; CREENING BY AUTOMATED SYSTEM WITH MANUAL RESCREENING                                                 </t>
  </si>
  <si>
    <t>CYTOPATHOLOGY, SMEARS,CERVICAL OR VAGINAL, UP TO THREE SMEARS, SCREENINGBY TECHNICIAN UNDER PHYSICIAN SUP DO NOT PAY PHYSICIAN'S OFFICE. DENY GF</t>
  </si>
  <si>
    <t xml:space="preserve">CYTOPATHOLOGY, SMEARS, CERVICAL OR VAGINAL, UP TO 3 SMEARS; WITH MANUAL CYTOTECHNOLOGIST SCREENING AND AUTOMATED RESCREENING UNDER MD SUPER.    </t>
  </si>
  <si>
    <t xml:space="preserve">CYTOPATHOLOGY, SLIDES, CERVICAL OR VAGINAL; WITH MANUAL SCREENING AND RESCREENING UNDER PHYSICIAN SUPERVISION                                   </t>
  </si>
  <si>
    <t xml:space="preserve">WITH DEFINITIVE HORMONAL EVALUATION (EG, MATURATION INDEX, KARYOPYKNOTICINDEX, ESTROGENIC INDEX)                                                </t>
  </si>
  <si>
    <t xml:space="preserve">CYTOPATHOLOGY, SLIDES, CERVICAL OR VAGINAL; MANUAL SCREENING UNDER MD SUPERVISION                                                               </t>
  </si>
  <si>
    <t xml:space="preserve">CYTOPATHOLOGY, SLIDES, CERVICAL OR VAGINAL;WITH MANUAL SCREENING AND RESCREENING UNDER MD SUPERVISION                                           </t>
  </si>
  <si>
    <t xml:space="preserve">CYTOPATHOLOGY, SLIDES, CERVICAL OR VAGINAL; WITH MANUAL SCREENING AND COMPUTER-ASSISTED RESCREENING UNDER MD SUPERVISION\                       </t>
  </si>
  <si>
    <t>CYTOPATHOLOGY, SLIDES,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</si>
  <si>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</si>
  <si>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CYTOPATHOLOGY, CERVICAL OR VAGINAL (ANY REPORTING SYSTEM), COLLECTED IN PRESERVATIVE FLUID, AUTOMATED THIN LAYER PREPARATION; BY AUTOMATED SYSTE</t>
  </si>
  <si>
    <t xml:space="preserve">CYTOPATHOLOGY, EVALUATION OF FINE NEEDLE ASPIRATE; IMMEDIATE CYTOHISTOLOGIC.STUDY TO DETERMINE ADEQUACY FOR DIAGNOSIS,EACH SEPARATE ADDITION    </t>
  </si>
  <si>
    <t xml:space="preserve">TISSUE CULTURE FOR CHROMOSOME ANALYSIS; LYMPHOCYTE PRICING CORRECTED 4-14-94                                                                    </t>
  </si>
  <si>
    <t xml:space="preserve">*****   SKIN OR OTHER SOLID TISSUE BIOPSY  (INTERNAL PRICING PRIOR TO   1/90) (INTERIM VALUE 1-1-94)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</si>
  <si>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</si>
  <si>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******  BONE MARROW (MYELOID CELLS) (INTERIM VALUE 1-1-94)                                                                                      </t>
  </si>
  <si>
    <t xml:space="preserve">*******  OTHER TISSUE (INTERIM VALUE 1-1-04)                                                                                                    </t>
  </si>
  <si>
    <t xml:space="preserve">CRYOPRESERVATION,FREEZING AND STORAGE OF CELLS,EACH CELL LINE REVIEW FOR COVERAGE BY PHYSICIANS PROGRAM SPECIALIST                              </t>
  </si>
  <si>
    <t xml:space="preserve">THAWING AND EXPANSION OF FROZEN CELLS, EACH ALIQUOT REVIEW BY PHYSICIANS PROGRAM SPECIALIST FOR COVERAGE                                        </t>
  </si>
  <si>
    <t xml:space="preserve">CHROMOSOME ANALYSIS FOR BREAKAGE SYNDROME; SCORE 25 CELLS (SCE STUDY),COUNT 5 CELLS 1KAROTYPE, WITH BANDING (EG, BLOOM SYNDROME)D 0593          </t>
  </si>
  <si>
    <t xml:space="preserve">****** SCORE 100 CELLS, COUNT 20 CELLS, 2 KAROTYPES, WITH BANDING; (EG, ATAXIA TELANGIECTASIA, FANCONI ANEMIA)(INTERIM VALUE 1-1-94)            </t>
  </si>
  <si>
    <t xml:space="preserve">CHROMOSOME ANALYSIS FOR BREAKAGE SYNDROMES; SCORE 100 CELLS, CLASTOGENSTRESS HAVE PHYSICIANS PROGRAM SPRECIALIST REVIEW FOR COVERAGE            </t>
  </si>
  <si>
    <t xml:space="preserve">CHROMOSOME ANALYSIS; COUNT 5 CELLS, 1 KARYOTYPE, WITH BANDING DELETED 0593                                                                      </t>
  </si>
  <si>
    <t xml:space="preserve">COUNT 1-20 CELLS FOR MOSAICISM, 2 KARYOTYPES DELETED 0593                                                                                       </t>
  </si>
  <si>
    <t xml:space="preserve">****** COUNT 45 CELLS FOR MOSAICISM, 2 KAROTYPES WITH BANDING DELETED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</si>
  <si>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</si>
  <si>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FLUID, COUNT 1-4 CELLS, 1 KAROTYPE DELETED 0593                                                                                        </t>
  </si>
  <si>
    <t xml:space="preserve">CHROMOSOME ANALYSIS, IN SITU FOR AMNIOTIC FLUID CELLS, COUNT CELLS FROM 6-12 COLONIES, 1 KAROTYPE, WITH BANDING                                 </t>
  </si>
  <si>
    <t xml:space="preserve">MOLECUALR CYTOGENETICS; DNA PROBE, EACH FISH.                                                                                                   </t>
  </si>
  <si>
    <t xml:space="preserve">MOLECULAR CYTOGENETICS;  CHROMOSOMAL IN SITU HYBRIDIZATION, ANALYZE 3-5 CELLS                                                                   </t>
  </si>
  <si>
    <t xml:space="preserve">MOLECULAR CYTOGENETICS; CHROMOSOMAL IN SITU HYBGRIDIZATION, ANALYZE 10-30 CELLS                                                                 </t>
  </si>
  <si>
    <t xml:space="preserve">MOLECULAR CYTOGENETICS;  INTERPHASE IN SITU HYBRIDIZATION, ANDALYZE 25-99 CELLLS.                                                               </t>
  </si>
  <si>
    <t xml:space="preserve">MOLECULAR CYTOGENETICS;  INTERPHASE IN SITUR HYBRIDIZATION,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</si>
  <si>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</si>
  <si>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(EG, NOR,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</si>
  <si>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</si>
  <si>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******* ADDITIONAL HIGH RESOLUTION STUDY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</si>
  <si>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</si>
  <si>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</si>
  <si>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BLOT, WITH INTERPRETATION AND     REPORT;                                                                 </t>
  </si>
  <si>
    <t xml:space="preserve">........IMMUNOLOGICAL PROBE FOR BAND IDENTIFICATION, EACH; RNE                                                                                  </t>
  </si>
  <si>
    <t xml:space="preserve">MICROSCOPIC IMAGING USING AN ENDOSCOPE, INTERPRETATION AND REPORT, REAL-TIME OR REFERRED                                                        </t>
  </si>
  <si>
    <t xml:space="preserve">BILIRUBIN, TOTAL, TRANSCUTANEOUS                                                                                                                </t>
  </si>
  <si>
    <t xml:space="preserve">HEMOGLOBIN (HGB), QUANTITATIVE, TRANSCUTANEOUS                                                                                                  </t>
  </si>
  <si>
    <t xml:space="preserve">HEMOGLOBIN, QUANTITATIVE, TRANSCUTANEOUS, PER DAY; CARBOXYHEMOGLOBIN                                                                            </t>
  </si>
  <si>
    <t xml:space="preserve">HEMOGLOBIN, QUANTITATIVE, TRANSCUTANEOUS, PER DAY; METHEMOGLOBIN                                                                                </t>
  </si>
  <si>
    <t xml:space="preserve">CELL COUNT, MISCELLANEOUS BODY FLUIDS (EG, CEREBROSPINAL FLUID, JOINT FLUID), EXCEPT BLOOD;                                                     </t>
  </si>
  <si>
    <t xml:space="preserve">CELL COUNT , MISC BODY FLUIDS EXCEPT BLOOD; WITH DIFFERENTIAL COUNT                                                                             </t>
  </si>
  <si>
    <t xml:space="preserve">LEUKOCYTE ASSESSMENT, FECAL, QUALITATIVE OR SEMIQUANTITATIVE                                                                                    </t>
  </si>
  <si>
    <t xml:space="preserve">CRYSTAL IDENTIFICATION BY LIGHT MICROSCOPY WITH OR WITHOUT POLARIZING LENS ANALYSIS, TISSUE OR ANY BODY FLUID (EXCEPT URINE)                    </t>
  </si>
  <si>
    <t xml:space="preserve">FAT STAIN, FECES, URINE, OR RESPIRATORY SECRETIONS                                                                                              </t>
  </si>
  <si>
    <t xml:space="preserve">MEAT FIBERS, FECES DELETED 0593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</si>
  <si>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</si>
  <si>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OOCYTE(S)/EMBRYO(S), LESS THAN 4 DAYS;                                                                                               </t>
  </si>
  <si>
    <t xml:space="preserve">CULTURE OF OOCYTE(S)/EMBRYO(S), LESS THAN 4 DAYS; WITH CO-CULTURE OF OOCYTE(S)/EMBRYOS                                                          </t>
  </si>
  <si>
    <t xml:space="preserve">ASSISTED EMBRYO MATCHIN,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</si>
  <si>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</si>
  <si>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</si>
  <si>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</si>
  <si>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</si>
  <si>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</si>
  <si>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(EG, SPERM MASH AND SWIM-UP) FOR INSEMINATION NON COVERED SERVICE                                                   </t>
  </si>
  <si>
    <t xml:space="preserve">SPERM ISOLATION; COMPLEX PREP (EG COL GRADIENT, ALBUMIN GRADIENT) NON COVERED SERVICE                                                           </t>
  </si>
  <si>
    <t xml:space="preserve">SPERM IDENTIFICATION FROM TESTIS TISSUE,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</si>
  <si>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</si>
  <si>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OOCYTE(S)/EMBRYO(S), 4-7 DAYS                                                                                               </t>
  </si>
  <si>
    <t xml:space="preserve">ASSISTED OOCYTE FERTILIZATION, MICROTECHNIQUE; LESS THAN OR EQUAL TO 10 OOCYTES                                                                 </t>
  </si>
  <si>
    <t xml:space="preserve">ASSISTED OOCYTE FERTILIZATION, MICROTECHNIQUE; GREATER THAN 10 OOCYTES                                                                          </t>
  </si>
  <si>
    <t xml:space="preserve">BIOPSY, OOCYTE POLAR BODY OR EMBRYO BLASTOMERE, MICROTECHNIQUE (FOR PRE-IMPLANTATION GENETIC DIAGNOSIS); LESS THAN OR EQUAL TO 5 EMB            </t>
  </si>
  <si>
    <t xml:space="preserve">BIOPSY, OOCYTE POLAR BODY OR EMBRYO BLASTOMERE, MICROTECHNIQUE (FOR PRE-IMPLANTATION GENETIC DIAGNOSIS); GREATER THAN 5 EMBRYOS                 </t>
  </si>
  <si>
    <t xml:space="preserve">SEMEN ANALYSIS, PRESENCE OR ABSENCE OF SPERM OR MOTILITY ONLY, INCLUDINGHUHNER TEST INFERTILITY TEST, NONCOVERED                                </t>
  </si>
  <si>
    <t xml:space="preserve">SEMEN ANALYSIS, PRESENCE OR ABSENCE OF SPERM OR MOTILITY ONLY, INCLUDING-HUHNER TEST INFERTILITY TEST,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</si>
  <si>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</si>
  <si>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</si>
  <si>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VOLUME, COUNT, MOTILITY,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</si>
  <si>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</si>
  <si>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SPERM, IF PERFORMED                                                                              </t>
  </si>
  <si>
    <t xml:space="preserve">SEMEN ANALYSIS; VOLUME, COUNT, MOTILITY, AND DIFFERENTIAL USING STRICTMORPHOLOGIC CRITERIA (EG,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</si>
  <si>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</si>
  <si>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TEST, NON COVERED                                                                        </t>
  </si>
  <si>
    <t xml:space="preserve">****** CERVICAL MUCOUS PENETRATION TEST, WITH OR WITHOUT SPINNBARKEIT TEST--INFERTILITY TEST, NONCOVERED                                        </t>
  </si>
  <si>
    <t xml:space="preserve">SPERM EVALUATION, FOR RETROGRADE EJACULATION, URINE (SPERM CONCENTRATION, MOTILITY, AND MORPHOLOGY, AS INDICATED)                               </t>
  </si>
  <si>
    <t xml:space="preserve">CRYOPRESERVATION, REPRODUCTIVE TISSUE,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</si>
  <si>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</si>
  <si>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STORAGE, (PER YEAR); EMBRYO(S)                                                                                                                  </t>
  </si>
  <si>
    <t xml:space="preserve">STORAGE, (PER YEAR); SPERM/SEMEN                                                                                                                </t>
  </si>
  <si>
    <t xml:space="preserve">STORAGE, (PER YEAR); REPRODUCTIVE TISSUE, TESTICULAR/OVARIAN                                                                                    </t>
  </si>
  <si>
    <t xml:space="preserve">STORAGE,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</si>
  <si>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</si>
  <si>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SPERM/SEMEN, EACH ALIQUOT                                                                                             </t>
  </si>
  <si>
    <t xml:space="preserve">THAWING OF CRYOPRESERVED; REPRODUCTIVE TISSUE, TESTICULAR/OVARIAN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</si>
  <si>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</si>
  <si>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</si>
  <si>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</si>
  <si>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</si>
  <si>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471-000-520</t>
  </si>
  <si>
    <t>OBSOLETE</t>
  </si>
  <si>
    <t>NC</t>
  </si>
  <si>
    <t>BR</t>
  </si>
  <si>
    <t xml:space="preserve">GENE ANALYSIS (ENHANCER OF ZESTE 2 POLYCOMB REPRESSIVE COMPLEX 2 SUBUNIT) FOR COMMON VARIANTS                                                 </t>
  </si>
  <si>
    <t xml:space="preserve">ANTIBODY; SEVERE ACUTE RESPIRATORY SYNDROME CORONAVIRUS 2(SARS-COV-2) (COVID-19)                                                              </t>
  </si>
  <si>
    <t>NEBRASKA MEDICAID FEE SCHEDULE, CLINICAL LAB JANUARY 1, 2024</t>
  </si>
  <si>
    <t xml:space="preserve">GENE ANALYSIS (CALCIUM VOLTAGE-GATED CHANNEL SUBUNIT ALPHA1 A) FOR KNOWN FAMILIAL VARIANT                                                </t>
  </si>
  <si>
    <t xml:space="preserve">GENE ANALYSIS (CCH-TYPE ZINC FINGER NUCLEIC ACID BINDING PROTEIN) FOR ABNORMAL ALLELES                                                         </t>
  </si>
  <si>
    <t xml:space="preserve">MRNA GENE EXPRESSION ANALYSIS OF 15 GENES IN EYE MELANOMA O TISSUE OR FINE NEEDLE ASPIRATE                                                 </t>
  </si>
  <si>
    <t xml:space="preserve">HELICOBACTER PYLORI, BLOOD TEST ANALYSIS FOR UREASE ACTIVITY, NON-RADIOACTIVE ISOTOPE (EG, C-13)                                              </t>
  </si>
  <si>
    <t xml:space="preserve">COMPLEMENT; ANTIGEN, TOTAL HEMOLYTIC (CH50)                                                                                                    </t>
  </si>
  <si>
    <t xml:space="preserve">IMMUNOASSAY FOR TUMOR ANTIGEN; OTHER ANTIGEN, QUANTITATIVE (EG, CA 50, 72-4, 549), EACH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</si>
</sst>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/>
    <xf numFmtId="8" fontId="18" fillId="0" borderId="10" xfId="0" applyNumberFormat="1" applyFont="1" applyFill="1" applyBorder="1" applyAlignment="1">
      <alignment horizontal="right"/>
    </xf>
    <xf numFmtId="0" fontId="0" fillId="0" borderId="0" xfId="0" applyFill="1"/>
    <xf numFmtId="0" fontId="18" fillId="0" borderId="0" xfId="0" applyFont="1" applyFill="1" applyBorder="1" applyAlignment="1">
      <alignment wrapText="1"/>
    </xf>
    <xf numFmtId="0" fontId="18" fillId="0" borderId="11" xfId="0" applyFont="1" applyFill="1" applyBorder="1"/>
    <xf numFmtId="0" fontId="18" fillId="0" borderId="12" xfId="0" applyFont="1" applyFill="1" applyBorder="1"/>
    <xf numFmtId="0" fontId="18" fillId="0" borderId="12" xfId="0" applyFont="1" applyFill="1" applyBorder="1" applyAlignment="1">
      <alignment wrapText="1"/>
    </xf>
    <xf numFmtId="0" fontId="18" fillId="0" borderId="13" xfId="0" applyFont="1" applyFill="1" applyBorder="1" applyAlignment="1">
      <alignment horizontal="right"/>
    </xf>
    <xf numFmtId="0" fontId="18" fillId="0" borderId="14" xfId="0" applyFont="1" applyFill="1" applyBorder="1"/>
    <xf numFmtId="0" fontId="18" fillId="0" borderId="0" xfId="0" applyFont="1" applyFill="1" applyBorder="1"/>
    <xf numFmtId="0" fontId="18" fillId="0" borderId="15" xfId="0" applyFont="1" applyFill="1" applyBorder="1" applyAlignment="1">
      <alignment horizontal="right"/>
    </xf>
    <xf numFmtId="0" fontId="18" fillId="0" borderId="16" xfId="0" applyFont="1" applyFill="1" applyBorder="1"/>
    <xf numFmtId="0" fontId="18" fillId="0" borderId="17" xfId="0" applyFont="1" applyFill="1" applyBorder="1"/>
    <xf numFmtId="0" fontId="18" fillId="0" borderId="17" xfId="0" applyFont="1" applyFill="1" applyBorder="1" applyAlignment="1">
      <alignment wrapText="1"/>
    </xf>
    <xf numFmtId="0" fontId="18" fillId="0" borderId="18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97"/>
  <sheetViews>
    <sheetView tabSelected="1" workbookViewId="0">
      <selection activeCell="K9" sqref="K9"/>
    </sheetView>
  </sheetViews>
  <sheetFormatPr defaultRowHeight="15" x14ac:dyDescent="0.25"/>
  <cols>
    <col min="1" max="1" width="10.85546875" style="4" customWidth="1"/>
    <col min="2" max="2" width="7.85546875" style="4" customWidth="1"/>
    <col min="3" max="3" width="31" style="19" customWidth="1"/>
    <col min="4" max="4" width="5.28515625" style="19" customWidth="1"/>
    <col min="5" max="5" width="26" style="19" customWidth="1"/>
    <col min="6" max="6" width="9.140625" style="4"/>
    <col min="7" max="7" width="23.42578125" style="20" customWidth="1"/>
    <col min="8" max="8" width="18.42578125" customWidth="1"/>
  </cols>
  <sheetData>
    <row r="1" spans="1:7" x14ac:dyDescent="0.25">
      <c r="A1" s="6" t="s">
        <v>1763</v>
      </c>
      <c r="B1" s="7"/>
      <c r="C1" s="8"/>
      <c r="D1" s="8"/>
      <c r="E1" s="8"/>
      <c r="F1" s="7"/>
      <c r="G1" s="9"/>
    </row>
    <row r="2" spans="1:7" x14ac:dyDescent="0.25">
      <c r="A2" s="10" t="s">
        <v>1764</v>
      </c>
      <c r="B2" s="11"/>
      <c r="C2" s="5"/>
      <c r="D2" s="5"/>
      <c r="E2" s="5"/>
      <c r="F2" s="11"/>
      <c r="G2" s="12"/>
    </row>
    <row r="3" spans="1:7" x14ac:dyDescent="0.25">
      <c r="A3" s="10" t="s">
        <v>1765</v>
      </c>
      <c r="B3" s="11"/>
      <c r="C3" s="5"/>
      <c r="D3" s="5"/>
      <c r="E3" s="5"/>
      <c r="F3" s="11"/>
      <c r="G3" s="12"/>
    </row>
    <row r="4" spans="1:7" x14ac:dyDescent="0.25">
      <c r="A4" s="13" t="s">
        <v>1766</v>
      </c>
      <c r="B4" s="14"/>
      <c r="C4" s="15"/>
      <c r="D4" s="15"/>
      <c r="E4" s="15"/>
      <c r="F4" s="14"/>
      <c r="G4" s="16"/>
    </row>
    <row r="5" spans="1:7" x14ac:dyDescent="0.25">
      <c r="A5" s="2"/>
      <c r="B5" s="2" t="s">
        <v>1773</v>
      </c>
      <c r="C5" s="1"/>
      <c r="D5" s="1"/>
      <c r="E5" s="1"/>
      <c r="F5" s="2"/>
      <c r="G5" s="17"/>
    </row>
    <row r="6" spans="1:7" x14ac:dyDescent="0.25">
      <c r="A6" s="2"/>
      <c r="B6" s="2" t="s">
        <v>1767</v>
      </c>
      <c r="C6" s="1"/>
      <c r="D6" s="1"/>
      <c r="E6" s="1"/>
      <c r="F6" s="2"/>
      <c r="G6" s="17"/>
    </row>
    <row r="7" spans="1:7" x14ac:dyDescent="0.25">
      <c r="A7" s="2" t="s">
        <v>0</v>
      </c>
      <c r="B7" s="2" t="s">
        <v>0</v>
      </c>
      <c r="C7" s="1" t="s">
        <v>0</v>
      </c>
      <c r="D7" s="1" t="s">
        <v>0</v>
      </c>
      <c r="E7" s="1" t="s">
        <v>0</v>
      </c>
      <c r="F7" s="2" t="s">
        <v>0</v>
      </c>
      <c r="G7" s="17" t="s">
        <v>1</v>
      </c>
    </row>
    <row r="8" spans="1:7" x14ac:dyDescent="0.25">
      <c r="A8" s="2" t="s">
        <v>2</v>
      </c>
      <c r="B8" s="2" t="s">
        <v>3</v>
      </c>
      <c r="C8" s="1" t="s">
        <v>4</v>
      </c>
      <c r="D8" s="1" t="s">
        <v>5</v>
      </c>
      <c r="E8" s="1" t="s">
        <v>6</v>
      </c>
      <c r="F8" s="2" t="s">
        <v>7</v>
      </c>
      <c r="G8" s="17" t="s">
        <v>8</v>
      </c>
    </row>
    <row r="9" spans="1:7" ht="72" x14ac:dyDescent="0.25">
      <c r="A9" s="2" t="str">
        <f>"000C9803"</f>
        <v>000C9803</v>
      </c>
      <c r="B9" s="2" t="str">
        <f t="shared" ref="B9:B17" si="0">"  "</f>
        <v xml:space="preserve">  </v>
      </c>
      <c r="C9" s="1" t="s">
        <v>9</v>
      </c>
      <c r="D9" s="1" t="s">
        <v>0</v>
      </c>
      <c r="E9" s="1" t="s">
        <v>10</v>
      </c>
      <c r="F9" s="2" t="s">
        <v>0</v>
      </c>
      <c r="G9" s="17" t="s">
        <v>1768</v>
      </c>
    </row>
    <row r="10" spans="1:7" ht="57.75" x14ac:dyDescent="0.25">
      <c r="A10" s="2" t="str">
        <f>"000G0103"</f>
        <v>000G0103</v>
      </c>
      <c r="B10" s="2" t="str">
        <f t="shared" si="0"/>
        <v xml:space="preserve">  </v>
      </c>
      <c r="C10" s="1" t="s">
        <v>11</v>
      </c>
      <c r="D10" s="1" t="s">
        <v>0</v>
      </c>
      <c r="E10" s="1" t="s">
        <v>12</v>
      </c>
      <c r="F10" s="2" t="s">
        <v>0</v>
      </c>
      <c r="G10" s="3">
        <v>19.309999999999999</v>
      </c>
    </row>
    <row r="11" spans="1:7" ht="100.5" x14ac:dyDescent="0.25">
      <c r="A11" s="2" t="str">
        <f>"000G0123"</f>
        <v>000G0123</v>
      </c>
      <c r="B11" s="2" t="str">
        <f t="shared" si="0"/>
        <v xml:space="preserve">  </v>
      </c>
      <c r="C11" s="1" t="s">
        <v>13</v>
      </c>
      <c r="D11" s="1" t="s">
        <v>0</v>
      </c>
      <c r="E11" s="1" t="s">
        <v>14</v>
      </c>
      <c r="F11" s="2" t="s">
        <v>0</v>
      </c>
      <c r="G11" s="17" t="s">
        <v>1769</v>
      </c>
    </row>
    <row r="12" spans="1:7" ht="100.5" x14ac:dyDescent="0.25">
      <c r="A12" s="2" t="str">
        <f>"000G0124"</f>
        <v>000G0124</v>
      </c>
      <c r="B12" s="2" t="str">
        <f t="shared" si="0"/>
        <v xml:space="preserve">  </v>
      </c>
      <c r="C12" s="1" t="s">
        <v>15</v>
      </c>
      <c r="D12" s="1" t="s">
        <v>0</v>
      </c>
      <c r="E12" s="1" t="s">
        <v>14</v>
      </c>
      <c r="F12" s="2" t="s">
        <v>0</v>
      </c>
      <c r="G12" s="17" t="s">
        <v>1769</v>
      </c>
    </row>
    <row r="13" spans="1:7" ht="100.5" x14ac:dyDescent="0.25">
      <c r="A13" s="2" t="str">
        <f>"000G0144"</f>
        <v>000G0144</v>
      </c>
      <c r="B13" s="2" t="str">
        <f t="shared" si="0"/>
        <v xml:space="preserve">  </v>
      </c>
      <c r="C13" s="1" t="s">
        <v>16</v>
      </c>
      <c r="D13" s="1" t="s">
        <v>0</v>
      </c>
      <c r="E13" s="1" t="s">
        <v>14</v>
      </c>
      <c r="F13" s="2" t="s">
        <v>0</v>
      </c>
      <c r="G13" s="17" t="s">
        <v>1769</v>
      </c>
    </row>
    <row r="14" spans="1:7" ht="114.75" x14ac:dyDescent="0.25">
      <c r="A14" s="2" t="str">
        <f>"000G0145"</f>
        <v>000G0145</v>
      </c>
      <c r="B14" s="2" t="str">
        <f t="shared" si="0"/>
        <v xml:space="preserve">  </v>
      </c>
      <c r="C14" s="1" t="s">
        <v>17</v>
      </c>
      <c r="D14" s="1" t="s">
        <v>0</v>
      </c>
      <c r="E14" s="1" t="s">
        <v>14</v>
      </c>
      <c r="F14" s="2" t="s">
        <v>0</v>
      </c>
      <c r="G14" s="17" t="s">
        <v>1769</v>
      </c>
    </row>
    <row r="15" spans="1:7" ht="100.5" x14ac:dyDescent="0.25">
      <c r="A15" s="2" t="str">
        <f>"000G0147"</f>
        <v>000G0147</v>
      </c>
      <c r="B15" s="2" t="str">
        <f t="shared" si="0"/>
        <v xml:space="preserve">  </v>
      </c>
      <c r="C15" s="1" t="s">
        <v>18</v>
      </c>
      <c r="D15" s="1" t="s">
        <v>0</v>
      </c>
      <c r="E15" s="1" t="s">
        <v>14</v>
      </c>
      <c r="F15" s="2" t="s">
        <v>0</v>
      </c>
      <c r="G15" s="17" t="s">
        <v>1769</v>
      </c>
    </row>
    <row r="16" spans="1:7" ht="86.25" x14ac:dyDescent="0.25">
      <c r="A16" s="2" t="str">
        <f>"000G0148"</f>
        <v>000G0148</v>
      </c>
      <c r="B16" s="2" t="str">
        <f t="shared" si="0"/>
        <v xml:space="preserve">  </v>
      </c>
      <c r="C16" s="1" t="s">
        <v>19</v>
      </c>
      <c r="D16" s="1" t="s">
        <v>0</v>
      </c>
      <c r="E16" s="1" t="s">
        <v>14</v>
      </c>
      <c r="F16" s="2" t="s">
        <v>0</v>
      </c>
      <c r="G16" s="17" t="s">
        <v>1769</v>
      </c>
    </row>
    <row r="17" spans="1:7" ht="72" x14ac:dyDescent="0.25">
      <c r="A17" s="2" t="str">
        <f>"000G0328"</f>
        <v>000G0328</v>
      </c>
      <c r="B17" s="2" t="str">
        <f t="shared" si="0"/>
        <v xml:space="preserve">  </v>
      </c>
      <c r="C17" s="1" t="s">
        <v>20</v>
      </c>
      <c r="D17" s="1" t="s">
        <v>0</v>
      </c>
      <c r="E17" s="1" t="s">
        <v>14</v>
      </c>
      <c r="F17" s="2" t="s">
        <v>0</v>
      </c>
      <c r="G17" s="17" t="s">
        <v>1769</v>
      </c>
    </row>
    <row r="18" spans="1:7" ht="72" x14ac:dyDescent="0.25">
      <c r="A18" s="2" t="str">
        <f>"000G0328"</f>
        <v>000G0328</v>
      </c>
      <c r="B18" s="2" t="str">
        <f>"QW"</f>
        <v>QW</v>
      </c>
      <c r="C18" s="1" t="s">
        <v>21</v>
      </c>
      <c r="D18" s="1" t="s">
        <v>0</v>
      </c>
      <c r="E18" s="1" t="s">
        <v>14</v>
      </c>
      <c r="F18" s="2" t="s">
        <v>0</v>
      </c>
      <c r="G18" s="17" t="s">
        <v>1769</v>
      </c>
    </row>
    <row r="19" spans="1:7" ht="72" x14ac:dyDescent="0.25">
      <c r="A19" s="2" t="str">
        <f>"000G0432"</f>
        <v>000G0432</v>
      </c>
      <c r="B19" s="2" t="str">
        <f>"  "</f>
        <v xml:space="preserve">  </v>
      </c>
      <c r="C19" s="1" t="s">
        <v>22</v>
      </c>
      <c r="D19" s="1" t="s">
        <v>0</v>
      </c>
      <c r="E19" s="1" t="s">
        <v>14</v>
      </c>
      <c r="F19" s="2" t="s">
        <v>0</v>
      </c>
      <c r="G19" s="17" t="s">
        <v>1769</v>
      </c>
    </row>
    <row r="20" spans="1:7" ht="86.25" x14ac:dyDescent="0.25">
      <c r="A20" s="2" t="str">
        <f>"000G0433"</f>
        <v>000G0433</v>
      </c>
      <c r="B20" s="2" t="str">
        <f>"  "</f>
        <v xml:space="preserve">  </v>
      </c>
      <c r="C20" s="1" t="s">
        <v>23</v>
      </c>
      <c r="D20" s="1" t="s">
        <v>0</v>
      </c>
      <c r="E20" s="1" t="s">
        <v>14</v>
      </c>
      <c r="F20" s="2" t="s">
        <v>0</v>
      </c>
      <c r="G20" s="17" t="s">
        <v>1769</v>
      </c>
    </row>
    <row r="21" spans="1:7" ht="86.25" x14ac:dyDescent="0.25">
      <c r="A21" s="2" t="str">
        <f>"000G0433"</f>
        <v>000G0433</v>
      </c>
      <c r="B21" s="2" t="str">
        <f>"QW"</f>
        <v>QW</v>
      </c>
      <c r="C21" s="1" t="s">
        <v>24</v>
      </c>
      <c r="D21" s="1" t="s">
        <v>0</v>
      </c>
      <c r="E21" s="1" t="s">
        <v>12</v>
      </c>
      <c r="F21" s="2" t="s">
        <v>0</v>
      </c>
      <c r="G21" s="3">
        <v>18.29</v>
      </c>
    </row>
    <row r="22" spans="1:7" ht="57.75" x14ac:dyDescent="0.25">
      <c r="A22" s="2" t="str">
        <f>"000G0435"</f>
        <v>000G0435</v>
      </c>
      <c r="B22" s="2" t="str">
        <f>"  "</f>
        <v xml:space="preserve">  </v>
      </c>
      <c r="C22" s="1" t="s">
        <v>25</v>
      </c>
      <c r="D22" s="1" t="s">
        <v>0</v>
      </c>
      <c r="E22" s="1" t="s">
        <v>14</v>
      </c>
      <c r="F22" s="2" t="s">
        <v>0</v>
      </c>
      <c r="G22" s="17" t="s">
        <v>1769</v>
      </c>
    </row>
    <row r="23" spans="1:7" ht="72" x14ac:dyDescent="0.25">
      <c r="A23" s="2" t="str">
        <f>"000G0464"</f>
        <v>000G0464</v>
      </c>
      <c r="B23" s="2" t="str">
        <f>"  "</f>
        <v xml:space="preserve">  </v>
      </c>
      <c r="C23" s="1" t="s">
        <v>26</v>
      </c>
      <c r="D23" s="1" t="s">
        <v>0</v>
      </c>
      <c r="E23" s="1" t="s">
        <v>14</v>
      </c>
      <c r="F23" s="2" t="s">
        <v>0</v>
      </c>
      <c r="G23" s="17" t="s">
        <v>1769</v>
      </c>
    </row>
    <row r="24" spans="1:7" ht="100.5" x14ac:dyDescent="0.25">
      <c r="A24" s="2" t="str">
        <f>"000G0471"</f>
        <v>000G0471</v>
      </c>
      <c r="B24" s="2" t="str">
        <f>"  "</f>
        <v xml:space="preserve">  </v>
      </c>
      <c r="C24" s="1" t="s">
        <v>27</v>
      </c>
      <c r="D24" s="1" t="s">
        <v>0</v>
      </c>
      <c r="E24" s="1" t="s">
        <v>14</v>
      </c>
      <c r="F24" s="2" t="s">
        <v>0</v>
      </c>
      <c r="G24" s="17" t="s">
        <v>1769</v>
      </c>
    </row>
    <row r="25" spans="1:7" ht="72" x14ac:dyDescent="0.25">
      <c r="A25" s="2" t="str">
        <f>"000G0472"</f>
        <v>000G0472</v>
      </c>
      <c r="B25" s="2" t="str">
        <f>"QW"</f>
        <v>QW</v>
      </c>
      <c r="C25" s="1" t="s">
        <v>28</v>
      </c>
      <c r="D25" s="1" t="s">
        <v>0</v>
      </c>
      <c r="E25" s="1" t="s">
        <v>14</v>
      </c>
      <c r="F25" s="2" t="s">
        <v>0</v>
      </c>
      <c r="G25" s="17" t="s">
        <v>1769</v>
      </c>
    </row>
    <row r="26" spans="1:7" ht="43.5" x14ac:dyDescent="0.25">
      <c r="A26" s="2" t="str">
        <f>"000G0475"</f>
        <v>000G0475</v>
      </c>
      <c r="B26" s="2" t="str">
        <f>"  "</f>
        <v xml:space="preserve">  </v>
      </c>
      <c r="C26" s="1" t="s">
        <v>29</v>
      </c>
      <c r="D26" s="1" t="s">
        <v>0</v>
      </c>
      <c r="E26" s="1" t="s">
        <v>12</v>
      </c>
      <c r="F26" s="2" t="s">
        <v>0</v>
      </c>
      <c r="G26" s="3">
        <v>24.08</v>
      </c>
    </row>
    <row r="27" spans="1:7" ht="43.5" x14ac:dyDescent="0.25">
      <c r="A27" s="2" t="str">
        <f>"000G0475"</f>
        <v>000G0475</v>
      </c>
      <c r="B27" s="2" t="str">
        <f>"QW"</f>
        <v>QW</v>
      </c>
      <c r="C27" s="1" t="s">
        <v>29</v>
      </c>
      <c r="D27" s="1" t="s">
        <v>0</v>
      </c>
      <c r="E27" s="1" t="s">
        <v>12</v>
      </c>
      <c r="F27" s="2" t="s">
        <v>0</v>
      </c>
      <c r="G27" s="3">
        <v>24.08</v>
      </c>
    </row>
    <row r="28" spans="1:7" ht="114.75" x14ac:dyDescent="0.25">
      <c r="A28" s="2" t="str">
        <f>"000G0480"</f>
        <v>000G0480</v>
      </c>
      <c r="B28" s="2" t="str">
        <f t="shared" ref="B28:B45" si="1">"  "</f>
        <v xml:space="preserve">  </v>
      </c>
      <c r="C28" s="1" t="s">
        <v>30</v>
      </c>
      <c r="D28" s="1" t="s">
        <v>0</v>
      </c>
      <c r="E28" s="1" t="s">
        <v>12</v>
      </c>
      <c r="F28" s="2" t="s">
        <v>0</v>
      </c>
      <c r="G28" s="3">
        <v>114.43</v>
      </c>
    </row>
    <row r="29" spans="1:7" ht="100.5" x14ac:dyDescent="0.25">
      <c r="A29" s="2" t="str">
        <f>"000G0481"</f>
        <v>000G0481</v>
      </c>
      <c r="B29" s="2" t="str">
        <f t="shared" si="1"/>
        <v xml:space="preserve">  </v>
      </c>
      <c r="C29" s="1" t="s">
        <v>31</v>
      </c>
      <c r="D29" s="1" t="s">
        <v>0</v>
      </c>
      <c r="E29" s="1" t="s">
        <v>12</v>
      </c>
      <c r="F29" s="2" t="s">
        <v>0</v>
      </c>
      <c r="G29" s="3">
        <v>156.59</v>
      </c>
    </row>
    <row r="30" spans="1:7" ht="100.5" x14ac:dyDescent="0.25">
      <c r="A30" s="2" t="str">
        <f>"000G0482"</f>
        <v>000G0482</v>
      </c>
      <c r="B30" s="2" t="str">
        <f t="shared" si="1"/>
        <v xml:space="preserve">  </v>
      </c>
      <c r="C30" s="1" t="s">
        <v>32</v>
      </c>
      <c r="D30" s="1" t="s">
        <v>0</v>
      </c>
      <c r="E30" s="1" t="s">
        <v>12</v>
      </c>
      <c r="F30" s="2" t="s">
        <v>0</v>
      </c>
      <c r="G30" s="3">
        <v>198.74</v>
      </c>
    </row>
    <row r="31" spans="1:7" ht="100.5" x14ac:dyDescent="0.25">
      <c r="A31" s="2" t="str">
        <f>"000G0483"</f>
        <v>000G0483</v>
      </c>
      <c r="B31" s="2" t="str">
        <f t="shared" si="1"/>
        <v xml:space="preserve">  </v>
      </c>
      <c r="C31" s="1" t="s">
        <v>33</v>
      </c>
      <c r="D31" s="1" t="s">
        <v>0</v>
      </c>
      <c r="E31" s="1" t="s">
        <v>12</v>
      </c>
      <c r="F31" s="2" t="s">
        <v>0</v>
      </c>
      <c r="G31" s="3">
        <v>246.92</v>
      </c>
    </row>
    <row r="32" spans="1:7" ht="43.5" x14ac:dyDescent="0.25">
      <c r="A32" s="2" t="str">
        <f>"000G2023"</f>
        <v>000G2023</v>
      </c>
      <c r="B32" s="2" t="str">
        <f t="shared" si="1"/>
        <v xml:space="preserve">  </v>
      </c>
      <c r="C32" s="1" t="s">
        <v>34</v>
      </c>
      <c r="D32" s="1" t="s">
        <v>0</v>
      </c>
      <c r="E32" s="1" t="s">
        <v>10</v>
      </c>
      <c r="F32" s="2" t="s">
        <v>0</v>
      </c>
      <c r="G32" s="17" t="s">
        <v>1768</v>
      </c>
    </row>
    <row r="33" spans="1:7" ht="100.5" x14ac:dyDescent="0.25">
      <c r="A33" s="2" t="str">
        <f>"000G2024"</f>
        <v>000G2024</v>
      </c>
      <c r="B33" s="2" t="str">
        <f t="shared" si="1"/>
        <v xml:space="preserve">  </v>
      </c>
      <c r="C33" s="1" t="s">
        <v>35</v>
      </c>
      <c r="D33" s="1" t="s">
        <v>0</v>
      </c>
      <c r="E33" s="1" t="s">
        <v>10</v>
      </c>
      <c r="F33" s="2" t="s">
        <v>0</v>
      </c>
      <c r="G33" s="17" t="s">
        <v>1768</v>
      </c>
    </row>
    <row r="34" spans="1:7" ht="72" x14ac:dyDescent="0.25">
      <c r="A34" s="2" t="str">
        <f>"000G9143"</f>
        <v>000G9143</v>
      </c>
      <c r="B34" s="2" t="str">
        <f t="shared" si="1"/>
        <v xml:space="preserve">  </v>
      </c>
      <c r="C34" s="1" t="s">
        <v>36</v>
      </c>
      <c r="D34" s="1" t="s">
        <v>0</v>
      </c>
      <c r="E34" s="1" t="s">
        <v>14</v>
      </c>
      <c r="F34" s="2" t="s">
        <v>0</v>
      </c>
      <c r="G34" s="17" t="s">
        <v>1769</v>
      </c>
    </row>
    <row r="35" spans="1:7" ht="57.75" x14ac:dyDescent="0.25">
      <c r="A35" s="2" t="str">
        <f>"000P2038"</f>
        <v>000P2038</v>
      </c>
      <c r="B35" s="2" t="str">
        <f t="shared" si="1"/>
        <v xml:space="preserve">  </v>
      </c>
      <c r="C35" s="1" t="s">
        <v>37</v>
      </c>
      <c r="D35" s="1" t="s">
        <v>0</v>
      </c>
      <c r="E35" s="1" t="s">
        <v>14</v>
      </c>
      <c r="F35" s="2" t="s">
        <v>0</v>
      </c>
      <c r="G35" s="17" t="s">
        <v>1769</v>
      </c>
    </row>
    <row r="36" spans="1:7" ht="86.25" x14ac:dyDescent="0.25">
      <c r="A36" s="2" t="str">
        <f>"000P3000"</f>
        <v>000P3000</v>
      </c>
      <c r="B36" s="2" t="str">
        <f t="shared" si="1"/>
        <v xml:space="preserve">  </v>
      </c>
      <c r="C36" s="1" t="s">
        <v>38</v>
      </c>
      <c r="D36" s="1" t="s">
        <v>0</v>
      </c>
      <c r="E36" s="1" t="s">
        <v>14</v>
      </c>
      <c r="F36" s="2" t="s">
        <v>0</v>
      </c>
      <c r="G36" s="17" t="s">
        <v>1769</v>
      </c>
    </row>
    <row r="37" spans="1:7" ht="57.75" x14ac:dyDescent="0.25">
      <c r="A37" s="2" t="str">
        <f>"000P9612"</f>
        <v>000P9612</v>
      </c>
      <c r="B37" s="2" t="str">
        <f t="shared" si="1"/>
        <v xml:space="preserve">  </v>
      </c>
      <c r="C37" s="1" t="s">
        <v>39</v>
      </c>
      <c r="D37" s="1" t="s">
        <v>0</v>
      </c>
      <c r="E37" s="1" t="s">
        <v>14</v>
      </c>
      <c r="F37" s="2" t="s">
        <v>0</v>
      </c>
      <c r="G37" s="17" t="s">
        <v>1769</v>
      </c>
    </row>
    <row r="38" spans="1:7" ht="86.25" x14ac:dyDescent="0.25">
      <c r="A38" s="2" t="str">
        <f>"000P9615"</f>
        <v>000P9615</v>
      </c>
      <c r="B38" s="2" t="str">
        <f t="shared" si="1"/>
        <v xml:space="preserve">  </v>
      </c>
      <c r="C38" s="1" t="s">
        <v>40</v>
      </c>
      <c r="D38" s="1" t="s">
        <v>0</v>
      </c>
      <c r="E38" s="1" t="s">
        <v>14</v>
      </c>
      <c r="F38" s="2" t="s">
        <v>0</v>
      </c>
      <c r="G38" s="17" t="s">
        <v>1769</v>
      </c>
    </row>
    <row r="39" spans="1:7" ht="57.75" x14ac:dyDescent="0.25">
      <c r="A39" s="2" t="str">
        <f>"000Q0111"</f>
        <v>000Q0111</v>
      </c>
      <c r="B39" s="2" t="str">
        <f t="shared" si="1"/>
        <v xml:space="preserve">  </v>
      </c>
      <c r="C39" s="1" t="s">
        <v>41</v>
      </c>
      <c r="D39" s="1" t="s">
        <v>0</v>
      </c>
      <c r="E39" s="1" t="s">
        <v>14</v>
      </c>
      <c r="F39" s="2" t="s">
        <v>0</v>
      </c>
      <c r="G39" s="17" t="s">
        <v>1769</v>
      </c>
    </row>
    <row r="40" spans="1:7" ht="43.5" x14ac:dyDescent="0.25">
      <c r="A40" s="2" t="str">
        <f>"000Q0112"</f>
        <v>000Q0112</v>
      </c>
      <c r="B40" s="2" t="str">
        <f t="shared" si="1"/>
        <v xml:space="preserve">  </v>
      </c>
      <c r="C40" s="1" t="s">
        <v>42</v>
      </c>
      <c r="D40" s="1" t="s">
        <v>0</v>
      </c>
      <c r="E40" s="1" t="s">
        <v>12</v>
      </c>
      <c r="F40" s="2" t="s">
        <v>0</v>
      </c>
      <c r="G40" s="3">
        <v>5.83</v>
      </c>
    </row>
    <row r="41" spans="1:7" ht="29.25" x14ac:dyDescent="0.25">
      <c r="A41" s="2" t="str">
        <f>"000Q0113"</f>
        <v>000Q0113</v>
      </c>
      <c r="B41" s="2" t="str">
        <f t="shared" si="1"/>
        <v xml:space="preserve">  </v>
      </c>
      <c r="C41" s="1" t="s">
        <v>43</v>
      </c>
      <c r="D41" s="1" t="s">
        <v>0</v>
      </c>
      <c r="E41" s="1" t="s">
        <v>14</v>
      </c>
      <c r="F41" s="2" t="s">
        <v>0</v>
      </c>
      <c r="G41" s="17" t="s">
        <v>1769</v>
      </c>
    </row>
    <row r="42" spans="1:7" ht="29.25" x14ac:dyDescent="0.25">
      <c r="A42" s="2" t="str">
        <f>"000Q0114"</f>
        <v>000Q0114</v>
      </c>
      <c r="B42" s="2" t="str">
        <f t="shared" si="1"/>
        <v xml:space="preserve">  </v>
      </c>
      <c r="C42" s="1" t="s">
        <v>44</v>
      </c>
      <c r="D42" s="1" t="s">
        <v>0</v>
      </c>
      <c r="E42" s="1" t="s">
        <v>14</v>
      </c>
      <c r="F42" s="2" t="s">
        <v>0</v>
      </c>
      <c r="G42" s="17" t="s">
        <v>1769</v>
      </c>
    </row>
    <row r="43" spans="1:7" ht="57.75" x14ac:dyDescent="0.25">
      <c r="A43" s="2" t="str">
        <f>"000Q0115"</f>
        <v>000Q0115</v>
      </c>
      <c r="B43" s="2" t="str">
        <f t="shared" si="1"/>
        <v xml:space="preserve">  </v>
      </c>
      <c r="C43" s="1" t="s">
        <v>45</v>
      </c>
      <c r="D43" s="1" t="s">
        <v>0</v>
      </c>
      <c r="E43" s="1" t="s">
        <v>14</v>
      </c>
      <c r="F43" s="2" t="s">
        <v>0</v>
      </c>
      <c r="G43" s="17" t="s">
        <v>1769</v>
      </c>
    </row>
    <row r="44" spans="1:7" ht="57.75" x14ac:dyDescent="0.25">
      <c r="A44" s="2" t="str">
        <f>"000U0001"</f>
        <v>000U0001</v>
      </c>
      <c r="B44" s="2" t="str">
        <f t="shared" si="1"/>
        <v xml:space="preserve">  </v>
      </c>
      <c r="C44" s="1" t="s">
        <v>46</v>
      </c>
      <c r="D44" s="1" t="s">
        <v>0</v>
      </c>
      <c r="E44" s="1" t="s">
        <v>12</v>
      </c>
      <c r="F44" s="2" t="s">
        <v>0</v>
      </c>
      <c r="G44" s="3">
        <v>35.92</v>
      </c>
    </row>
    <row r="45" spans="1:7" ht="29.25" x14ac:dyDescent="0.25">
      <c r="A45" s="2" t="str">
        <f>"000U0002"</f>
        <v>000U0002</v>
      </c>
      <c r="B45" s="2" t="str">
        <f t="shared" si="1"/>
        <v xml:space="preserve">  </v>
      </c>
      <c r="C45" s="1" t="s">
        <v>47</v>
      </c>
      <c r="D45" s="1" t="s">
        <v>0</v>
      </c>
      <c r="E45" s="1" t="s">
        <v>12</v>
      </c>
      <c r="F45" s="2" t="s">
        <v>0</v>
      </c>
      <c r="G45" s="3">
        <v>51.31</v>
      </c>
    </row>
    <row r="46" spans="1:7" ht="29.25" x14ac:dyDescent="0.25">
      <c r="A46" s="2" t="str">
        <f>"000U0002"</f>
        <v>000U0002</v>
      </c>
      <c r="B46" s="2" t="str">
        <f>"QW"</f>
        <v>QW</v>
      </c>
      <c r="C46" s="1" t="s">
        <v>48</v>
      </c>
      <c r="D46" s="1" t="s">
        <v>0</v>
      </c>
      <c r="E46" s="1" t="s">
        <v>12</v>
      </c>
      <c r="F46" s="2" t="s">
        <v>0</v>
      </c>
      <c r="G46" s="3">
        <v>51.31</v>
      </c>
    </row>
    <row r="47" spans="1:7" ht="114.75" x14ac:dyDescent="0.25">
      <c r="A47" s="2" t="str">
        <f>"000U0003"</f>
        <v>000U0003</v>
      </c>
      <c r="B47" s="2" t="str">
        <f>"  "</f>
        <v xml:space="preserve">  </v>
      </c>
      <c r="C47" s="1" t="s">
        <v>49</v>
      </c>
      <c r="D47" s="1" t="s">
        <v>0</v>
      </c>
      <c r="E47" s="1" t="s">
        <v>10</v>
      </c>
      <c r="F47" s="2" t="s">
        <v>0</v>
      </c>
      <c r="G47" s="17" t="s">
        <v>1768</v>
      </c>
    </row>
    <row r="48" spans="1:7" ht="114.75" x14ac:dyDescent="0.25">
      <c r="A48" s="2" t="str">
        <f>"000U0004"</f>
        <v>000U0004</v>
      </c>
      <c r="B48" s="2" t="str">
        <f>"  "</f>
        <v xml:space="preserve">  </v>
      </c>
      <c r="C48" s="1" t="s">
        <v>50</v>
      </c>
      <c r="D48" s="1" t="s">
        <v>0</v>
      </c>
      <c r="E48" s="1" t="s">
        <v>10</v>
      </c>
      <c r="F48" s="2" t="s">
        <v>0</v>
      </c>
      <c r="G48" s="17" t="s">
        <v>1768</v>
      </c>
    </row>
    <row r="49" spans="1:7" ht="57.75" x14ac:dyDescent="0.25">
      <c r="A49" s="2" t="str">
        <f>"000U0005"</f>
        <v>000U0005</v>
      </c>
      <c r="B49" s="2" t="str">
        <f>"  "</f>
        <v xml:space="preserve">  </v>
      </c>
      <c r="C49" s="1" t="s">
        <v>51</v>
      </c>
      <c r="D49" s="1" t="s">
        <v>0</v>
      </c>
      <c r="E49" s="1" t="s">
        <v>10</v>
      </c>
      <c r="F49" s="2" t="s">
        <v>0</v>
      </c>
      <c r="G49" s="17" t="s">
        <v>1768</v>
      </c>
    </row>
    <row r="50" spans="1:7" ht="43.5" x14ac:dyDescent="0.25">
      <c r="A50" s="2" t="str">
        <f>"0000080U"</f>
        <v>0000080U</v>
      </c>
      <c r="B50" s="2" t="str">
        <f>"90"</f>
        <v>90</v>
      </c>
      <c r="C50" s="1" t="s">
        <v>52</v>
      </c>
      <c r="D50" s="1" t="s">
        <v>0</v>
      </c>
      <c r="E50" s="1" t="s">
        <v>14</v>
      </c>
      <c r="F50" s="2" t="s">
        <v>0</v>
      </c>
      <c r="G50" s="17" t="s">
        <v>1769</v>
      </c>
    </row>
    <row r="51" spans="1:7" ht="29.25" x14ac:dyDescent="0.25">
      <c r="A51" s="2" t="str">
        <f>"0000082U"</f>
        <v>0000082U</v>
      </c>
      <c r="B51" s="2" t="str">
        <f>"90"</f>
        <v>90</v>
      </c>
      <c r="C51" s="1" t="s">
        <v>53</v>
      </c>
      <c r="D51" s="1" t="s">
        <v>0</v>
      </c>
      <c r="E51" s="1" t="s">
        <v>14</v>
      </c>
      <c r="F51" s="2" t="s">
        <v>0</v>
      </c>
      <c r="G51" s="17" t="s">
        <v>1769</v>
      </c>
    </row>
    <row r="52" spans="1:7" ht="43.5" x14ac:dyDescent="0.25">
      <c r="A52" s="2" t="str">
        <f>"0000083U"</f>
        <v>0000083U</v>
      </c>
      <c r="B52" s="2" t="str">
        <f>"90"</f>
        <v>90</v>
      </c>
      <c r="C52" s="1" t="s">
        <v>54</v>
      </c>
      <c r="D52" s="1" t="s">
        <v>0</v>
      </c>
      <c r="E52" s="1" t="s">
        <v>14</v>
      </c>
      <c r="F52" s="2" t="s">
        <v>0</v>
      </c>
      <c r="G52" s="17" t="s">
        <v>1769</v>
      </c>
    </row>
    <row r="53" spans="1:7" ht="100.5" x14ac:dyDescent="0.25">
      <c r="A53" s="2" t="str">
        <f>"0000202U"</f>
        <v>0000202U</v>
      </c>
      <c r="B53" s="2" t="str">
        <f t="shared" ref="B53:B60" si="2">"  "</f>
        <v xml:space="preserve">  </v>
      </c>
      <c r="C53" s="1" t="s">
        <v>55</v>
      </c>
      <c r="D53" s="1" t="s">
        <v>0</v>
      </c>
      <c r="E53" s="1" t="s">
        <v>56</v>
      </c>
      <c r="F53" s="2" t="s">
        <v>0</v>
      </c>
      <c r="G53" s="3">
        <v>416.78</v>
      </c>
    </row>
    <row r="54" spans="1:7" ht="100.5" x14ac:dyDescent="0.25">
      <c r="A54" s="2" t="str">
        <f>"0000223U"</f>
        <v>0000223U</v>
      </c>
      <c r="B54" s="2" t="str">
        <f t="shared" si="2"/>
        <v xml:space="preserve">  </v>
      </c>
      <c r="C54" s="1" t="s">
        <v>55</v>
      </c>
      <c r="D54" s="1" t="s">
        <v>0</v>
      </c>
      <c r="E54" s="1" t="s">
        <v>56</v>
      </c>
      <c r="F54" s="2" t="s">
        <v>0</v>
      </c>
      <c r="G54" s="3">
        <v>416.78</v>
      </c>
    </row>
    <row r="55" spans="1:7" ht="100.5" x14ac:dyDescent="0.25">
      <c r="A55" s="2" t="str">
        <f>"0000224U"</f>
        <v>0000224U</v>
      </c>
      <c r="B55" s="2" t="str">
        <f t="shared" si="2"/>
        <v xml:space="preserve">  </v>
      </c>
      <c r="C55" s="1" t="s">
        <v>57</v>
      </c>
      <c r="D55" s="1" t="s">
        <v>0</v>
      </c>
      <c r="E55" s="1" t="s">
        <v>58</v>
      </c>
      <c r="F55" s="2" t="s">
        <v>0</v>
      </c>
      <c r="G55" s="3">
        <v>51.43</v>
      </c>
    </row>
    <row r="56" spans="1:7" ht="100.5" x14ac:dyDescent="0.25">
      <c r="A56" s="2" t="str">
        <f>"0000225U"</f>
        <v>0000225U</v>
      </c>
      <c r="B56" s="2" t="str">
        <f t="shared" si="2"/>
        <v xml:space="preserve">  </v>
      </c>
      <c r="C56" s="1" t="s">
        <v>59</v>
      </c>
      <c r="D56" s="1" t="s">
        <v>0</v>
      </c>
      <c r="E56" s="1" t="s">
        <v>56</v>
      </c>
      <c r="F56" s="2" t="s">
        <v>0</v>
      </c>
      <c r="G56" s="3">
        <v>416.78</v>
      </c>
    </row>
    <row r="57" spans="1:7" ht="100.5" x14ac:dyDescent="0.25">
      <c r="A57" s="2" t="str">
        <f>"0000226U"</f>
        <v>0000226U</v>
      </c>
      <c r="B57" s="2" t="str">
        <f t="shared" si="2"/>
        <v xml:space="preserve">  </v>
      </c>
      <c r="C57" s="1" t="s">
        <v>60</v>
      </c>
      <c r="D57" s="1" t="s">
        <v>0</v>
      </c>
      <c r="E57" s="1" t="s">
        <v>56</v>
      </c>
      <c r="F57" s="2" t="s">
        <v>0</v>
      </c>
      <c r="G57" s="3">
        <v>42.28</v>
      </c>
    </row>
    <row r="58" spans="1:7" ht="100.5" x14ac:dyDescent="0.25">
      <c r="A58" s="2" t="str">
        <f>"0000240U"</f>
        <v>0000240U</v>
      </c>
      <c r="B58" s="2" t="str">
        <f t="shared" si="2"/>
        <v xml:space="preserve">  </v>
      </c>
      <c r="C58" s="1" t="s">
        <v>61</v>
      </c>
      <c r="D58" s="1" t="s">
        <v>0</v>
      </c>
      <c r="E58" s="1" t="s">
        <v>56</v>
      </c>
      <c r="F58" s="2" t="s">
        <v>0</v>
      </c>
      <c r="G58" s="3">
        <v>142.63</v>
      </c>
    </row>
    <row r="59" spans="1:7" ht="100.5" x14ac:dyDescent="0.25">
      <c r="A59" s="2" t="str">
        <f>"0000241U"</f>
        <v>0000241U</v>
      </c>
      <c r="B59" s="2" t="str">
        <f t="shared" si="2"/>
        <v xml:space="preserve">  </v>
      </c>
      <c r="C59" s="1" t="s">
        <v>62</v>
      </c>
      <c r="D59" s="1" t="s">
        <v>0</v>
      </c>
      <c r="E59" s="1" t="s">
        <v>56</v>
      </c>
      <c r="F59" s="2" t="s">
        <v>0</v>
      </c>
      <c r="G59" s="3">
        <v>142.63</v>
      </c>
    </row>
    <row r="60" spans="1:7" ht="43.5" x14ac:dyDescent="0.25">
      <c r="A60" s="2" t="str">
        <f>"0000242U"</f>
        <v>0000242U</v>
      </c>
      <c r="B60" s="2" t="str">
        <f t="shared" si="2"/>
        <v xml:space="preserve">  </v>
      </c>
      <c r="C60" s="1" t="s">
        <v>63</v>
      </c>
      <c r="D60" s="1" t="s">
        <v>0</v>
      </c>
      <c r="E60" s="1" t="s">
        <v>14</v>
      </c>
      <c r="F60" s="2" t="s">
        <v>0</v>
      </c>
      <c r="G60" s="17" t="s">
        <v>1769</v>
      </c>
    </row>
    <row r="61" spans="1:7" ht="43.5" x14ac:dyDescent="0.25">
      <c r="A61" s="2" t="str">
        <f>"0000242U"</f>
        <v>0000242U</v>
      </c>
      <c r="B61" s="2" t="str">
        <f>"90"</f>
        <v>90</v>
      </c>
      <c r="C61" s="1" t="s">
        <v>63</v>
      </c>
      <c r="D61" s="1" t="s">
        <v>0</v>
      </c>
      <c r="E61" s="1" t="s">
        <v>14</v>
      </c>
      <c r="F61" s="2" t="s">
        <v>0</v>
      </c>
      <c r="G61" s="17" t="s">
        <v>1769</v>
      </c>
    </row>
    <row r="62" spans="1:7" ht="43.5" x14ac:dyDescent="0.25">
      <c r="A62" s="2" t="str">
        <f>"0000243U"</f>
        <v>0000243U</v>
      </c>
      <c r="B62" s="2" t="str">
        <f>"  "</f>
        <v xml:space="preserve">  </v>
      </c>
      <c r="C62" s="1" t="s">
        <v>64</v>
      </c>
      <c r="D62" s="1" t="s">
        <v>0</v>
      </c>
      <c r="E62" s="1" t="s">
        <v>14</v>
      </c>
      <c r="F62" s="2" t="s">
        <v>0</v>
      </c>
      <c r="G62" s="17" t="s">
        <v>1769</v>
      </c>
    </row>
    <row r="63" spans="1:7" ht="43.5" x14ac:dyDescent="0.25">
      <c r="A63" s="2" t="str">
        <f>"0000243U"</f>
        <v>0000243U</v>
      </c>
      <c r="B63" s="2" t="str">
        <f>"90"</f>
        <v>90</v>
      </c>
      <c r="C63" s="1" t="s">
        <v>64</v>
      </c>
      <c r="D63" s="1" t="s">
        <v>0</v>
      </c>
      <c r="E63" s="1" t="s">
        <v>14</v>
      </c>
      <c r="F63" s="2" t="s">
        <v>0</v>
      </c>
      <c r="G63" s="17" t="s">
        <v>1769</v>
      </c>
    </row>
    <row r="64" spans="1:7" ht="43.5" x14ac:dyDescent="0.25">
      <c r="A64" s="2" t="str">
        <f>"0000244U"</f>
        <v>0000244U</v>
      </c>
      <c r="B64" s="2" t="str">
        <f>"  "</f>
        <v xml:space="preserve">  </v>
      </c>
      <c r="C64" s="1" t="s">
        <v>65</v>
      </c>
      <c r="D64" s="1" t="s">
        <v>0</v>
      </c>
      <c r="E64" s="1" t="s">
        <v>14</v>
      </c>
      <c r="F64" s="2" t="s">
        <v>0</v>
      </c>
      <c r="G64" s="17" t="s">
        <v>1769</v>
      </c>
    </row>
    <row r="65" spans="1:7" ht="43.5" x14ac:dyDescent="0.25">
      <c r="A65" s="2" t="str">
        <f>"0000244U"</f>
        <v>0000244U</v>
      </c>
      <c r="B65" s="2" t="str">
        <f>"90"</f>
        <v>90</v>
      </c>
      <c r="C65" s="1" t="s">
        <v>65</v>
      </c>
      <c r="D65" s="1" t="s">
        <v>0</v>
      </c>
      <c r="E65" s="1" t="s">
        <v>14</v>
      </c>
      <c r="F65" s="2" t="s">
        <v>0</v>
      </c>
      <c r="G65" s="17" t="s">
        <v>1769</v>
      </c>
    </row>
    <row r="66" spans="1:7" ht="43.5" x14ac:dyDescent="0.25">
      <c r="A66" s="2" t="str">
        <f>"0000245U"</f>
        <v>0000245U</v>
      </c>
      <c r="B66" s="2" t="str">
        <f>"  "</f>
        <v xml:space="preserve">  </v>
      </c>
      <c r="C66" s="1" t="s">
        <v>66</v>
      </c>
      <c r="D66" s="1" t="s">
        <v>0</v>
      </c>
      <c r="E66" s="1" t="s">
        <v>14</v>
      </c>
      <c r="F66" s="2" t="s">
        <v>0</v>
      </c>
      <c r="G66" s="17" t="s">
        <v>1769</v>
      </c>
    </row>
    <row r="67" spans="1:7" ht="43.5" x14ac:dyDescent="0.25">
      <c r="A67" s="2" t="str">
        <f>"0000245U"</f>
        <v>0000245U</v>
      </c>
      <c r="B67" s="2" t="str">
        <f>"90"</f>
        <v>90</v>
      </c>
      <c r="C67" s="1" t="s">
        <v>66</v>
      </c>
      <c r="D67" s="1" t="s">
        <v>0</v>
      </c>
      <c r="E67" s="1" t="s">
        <v>14</v>
      </c>
      <c r="F67" s="2" t="s">
        <v>0</v>
      </c>
      <c r="G67" s="17" t="s">
        <v>1769</v>
      </c>
    </row>
    <row r="68" spans="1:7" ht="43.5" x14ac:dyDescent="0.25">
      <c r="A68" s="2" t="str">
        <f>"0000246U"</f>
        <v>0000246U</v>
      </c>
      <c r="B68" s="2" t="str">
        <f>"  "</f>
        <v xml:space="preserve">  </v>
      </c>
      <c r="C68" s="1" t="s">
        <v>67</v>
      </c>
      <c r="D68" s="1" t="s">
        <v>0</v>
      </c>
      <c r="E68" s="1" t="s">
        <v>14</v>
      </c>
      <c r="F68" s="2" t="s">
        <v>0</v>
      </c>
      <c r="G68" s="17" t="s">
        <v>1769</v>
      </c>
    </row>
    <row r="69" spans="1:7" ht="43.5" x14ac:dyDescent="0.25">
      <c r="A69" s="2" t="str">
        <f>"0000246U"</f>
        <v>0000246U</v>
      </c>
      <c r="B69" s="2" t="str">
        <f>"90"</f>
        <v>90</v>
      </c>
      <c r="C69" s="1" t="s">
        <v>67</v>
      </c>
      <c r="D69" s="1" t="s">
        <v>0</v>
      </c>
      <c r="E69" s="1" t="s">
        <v>14</v>
      </c>
      <c r="F69" s="2" t="s">
        <v>0</v>
      </c>
      <c r="G69" s="17" t="s">
        <v>1769</v>
      </c>
    </row>
    <row r="70" spans="1:7" ht="43.5" x14ac:dyDescent="0.25">
      <c r="A70" s="2" t="str">
        <f>"0000247U"</f>
        <v>0000247U</v>
      </c>
      <c r="B70" s="2" t="str">
        <f>"  "</f>
        <v xml:space="preserve">  </v>
      </c>
      <c r="C70" s="1" t="s">
        <v>68</v>
      </c>
      <c r="D70" s="1" t="s">
        <v>0</v>
      </c>
      <c r="E70" s="1" t="s">
        <v>14</v>
      </c>
      <c r="F70" s="2" t="s">
        <v>0</v>
      </c>
      <c r="G70" s="17" t="s">
        <v>1769</v>
      </c>
    </row>
    <row r="71" spans="1:7" ht="43.5" x14ac:dyDescent="0.25">
      <c r="A71" s="2" t="str">
        <f>"0000247U"</f>
        <v>0000247U</v>
      </c>
      <c r="B71" s="2" t="str">
        <f>"90"</f>
        <v>90</v>
      </c>
      <c r="C71" s="1" t="s">
        <v>68</v>
      </c>
      <c r="D71" s="1" t="s">
        <v>0</v>
      </c>
      <c r="E71" s="1" t="s">
        <v>14</v>
      </c>
      <c r="F71" s="2" t="s">
        <v>0</v>
      </c>
      <c r="G71" s="17" t="s">
        <v>1769</v>
      </c>
    </row>
    <row r="72" spans="1:7" ht="57.75" x14ac:dyDescent="0.25">
      <c r="A72" s="2" t="str">
        <f>"0000248U"</f>
        <v>0000248U</v>
      </c>
      <c r="B72" s="2" t="str">
        <f>"  "</f>
        <v xml:space="preserve">  </v>
      </c>
      <c r="C72" s="1" t="s">
        <v>69</v>
      </c>
      <c r="D72" s="1" t="s">
        <v>0</v>
      </c>
      <c r="E72" s="1" t="s">
        <v>14</v>
      </c>
      <c r="F72" s="2" t="s">
        <v>0</v>
      </c>
      <c r="G72" s="17" t="s">
        <v>1769</v>
      </c>
    </row>
    <row r="73" spans="1:7" ht="57.75" x14ac:dyDescent="0.25">
      <c r="A73" s="2" t="str">
        <f>"0000248U"</f>
        <v>0000248U</v>
      </c>
      <c r="B73" s="2" t="str">
        <f>"90"</f>
        <v>90</v>
      </c>
      <c r="C73" s="1" t="s">
        <v>69</v>
      </c>
      <c r="D73" s="1" t="s">
        <v>0</v>
      </c>
      <c r="E73" s="1" t="s">
        <v>14</v>
      </c>
      <c r="F73" s="2" t="s">
        <v>0</v>
      </c>
      <c r="G73" s="17" t="s">
        <v>1769</v>
      </c>
    </row>
    <row r="74" spans="1:7" ht="43.5" x14ac:dyDescent="0.25">
      <c r="A74" s="2" t="str">
        <f>"0000249U"</f>
        <v>0000249U</v>
      </c>
      <c r="B74" s="2" t="str">
        <f>"  "</f>
        <v xml:space="preserve">  </v>
      </c>
      <c r="C74" s="1" t="s">
        <v>70</v>
      </c>
      <c r="D74" s="1" t="s">
        <v>0</v>
      </c>
      <c r="E74" s="1" t="s">
        <v>14</v>
      </c>
      <c r="F74" s="2" t="s">
        <v>0</v>
      </c>
      <c r="G74" s="17" t="s">
        <v>1769</v>
      </c>
    </row>
    <row r="75" spans="1:7" ht="43.5" x14ac:dyDescent="0.25">
      <c r="A75" s="2" t="str">
        <f>"0000249U"</f>
        <v>0000249U</v>
      </c>
      <c r="B75" s="2" t="str">
        <f>"90"</f>
        <v>90</v>
      </c>
      <c r="C75" s="1" t="s">
        <v>70</v>
      </c>
      <c r="D75" s="1" t="s">
        <v>0</v>
      </c>
      <c r="E75" s="1" t="s">
        <v>14</v>
      </c>
      <c r="F75" s="2" t="s">
        <v>0</v>
      </c>
      <c r="G75" s="17" t="s">
        <v>1769</v>
      </c>
    </row>
    <row r="76" spans="1:7" ht="43.5" x14ac:dyDescent="0.25">
      <c r="A76" s="2" t="str">
        <f>"0000250U"</f>
        <v>0000250U</v>
      </c>
      <c r="B76" s="2" t="str">
        <f>"  "</f>
        <v xml:space="preserve">  </v>
      </c>
      <c r="C76" s="1" t="s">
        <v>71</v>
      </c>
      <c r="D76" s="1" t="s">
        <v>0</v>
      </c>
      <c r="E76" s="1" t="s">
        <v>14</v>
      </c>
      <c r="F76" s="2" t="s">
        <v>0</v>
      </c>
      <c r="G76" s="17" t="s">
        <v>1769</v>
      </c>
    </row>
    <row r="77" spans="1:7" ht="43.5" x14ac:dyDescent="0.25">
      <c r="A77" s="2" t="str">
        <f>"0000250U"</f>
        <v>0000250U</v>
      </c>
      <c r="B77" s="2" t="str">
        <f>"90"</f>
        <v>90</v>
      </c>
      <c r="C77" s="1" t="s">
        <v>71</v>
      </c>
      <c r="D77" s="1" t="s">
        <v>0</v>
      </c>
      <c r="E77" s="1" t="s">
        <v>14</v>
      </c>
      <c r="F77" s="2" t="s">
        <v>0</v>
      </c>
      <c r="G77" s="17" t="s">
        <v>1769</v>
      </c>
    </row>
    <row r="78" spans="1:7" ht="43.5" x14ac:dyDescent="0.25">
      <c r="A78" s="2" t="str">
        <f>"0000251U"</f>
        <v>0000251U</v>
      </c>
      <c r="B78" s="2" t="str">
        <f>"  "</f>
        <v xml:space="preserve">  </v>
      </c>
      <c r="C78" s="1" t="s">
        <v>72</v>
      </c>
      <c r="D78" s="1" t="s">
        <v>0</v>
      </c>
      <c r="E78" s="1" t="s">
        <v>14</v>
      </c>
      <c r="F78" s="2" t="s">
        <v>0</v>
      </c>
      <c r="G78" s="17" t="s">
        <v>1769</v>
      </c>
    </row>
    <row r="79" spans="1:7" ht="43.5" x14ac:dyDescent="0.25">
      <c r="A79" s="2" t="str">
        <f>"0000251U"</f>
        <v>0000251U</v>
      </c>
      <c r="B79" s="2" t="str">
        <f>"90"</f>
        <v>90</v>
      </c>
      <c r="C79" s="1" t="s">
        <v>72</v>
      </c>
      <c r="D79" s="1" t="s">
        <v>0</v>
      </c>
      <c r="E79" s="1" t="s">
        <v>14</v>
      </c>
      <c r="F79" s="2" t="s">
        <v>0</v>
      </c>
      <c r="G79" s="17" t="s">
        <v>1769</v>
      </c>
    </row>
    <row r="80" spans="1:7" ht="43.5" x14ac:dyDescent="0.25">
      <c r="A80" s="2" t="str">
        <f>"0000252U"</f>
        <v>0000252U</v>
      </c>
      <c r="B80" s="2" t="str">
        <f>"  "</f>
        <v xml:space="preserve">  </v>
      </c>
      <c r="C80" s="1" t="s">
        <v>73</v>
      </c>
      <c r="D80" s="1" t="s">
        <v>0</v>
      </c>
      <c r="E80" s="1" t="s">
        <v>14</v>
      </c>
      <c r="F80" s="2" t="s">
        <v>0</v>
      </c>
      <c r="G80" s="17" t="s">
        <v>1769</v>
      </c>
    </row>
    <row r="81" spans="1:7" ht="43.5" x14ac:dyDescent="0.25">
      <c r="A81" s="2" t="str">
        <f>"0000252U"</f>
        <v>0000252U</v>
      </c>
      <c r="B81" s="2" t="str">
        <f>"90"</f>
        <v>90</v>
      </c>
      <c r="C81" s="1" t="s">
        <v>73</v>
      </c>
      <c r="D81" s="1" t="s">
        <v>0</v>
      </c>
      <c r="E81" s="1" t="s">
        <v>14</v>
      </c>
      <c r="F81" s="2" t="s">
        <v>0</v>
      </c>
      <c r="G81" s="17" t="s">
        <v>1769</v>
      </c>
    </row>
    <row r="82" spans="1:7" ht="57.75" x14ac:dyDescent="0.25">
      <c r="A82" s="2" t="str">
        <f>"0000253U"</f>
        <v>0000253U</v>
      </c>
      <c r="B82" s="2" t="str">
        <f>"  "</f>
        <v xml:space="preserve">  </v>
      </c>
      <c r="C82" s="1" t="s">
        <v>74</v>
      </c>
      <c r="D82" s="1" t="s">
        <v>0</v>
      </c>
      <c r="E82" s="1" t="s">
        <v>14</v>
      </c>
      <c r="F82" s="2" t="s">
        <v>0</v>
      </c>
      <c r="G82" s="17" t="s">
        <v>1769</v>
      </c>
    </row>
    <row r="83" spans="1:7" ht="57.75" x14ac:dyDescent="0.25">
      <c r="A83" s="2" t="str">
        <f>"0000253U"</f>
        <v>0000253U</v>
      </c>
      <c r="B83" s="2" t="str">
        <f>"90"</f>
        <v>90</v>
      </c>
      <c r="C83" s="1" t="s">
        <v>74</v>
      </c>
      <c r="D83" s="1" t="s">
        <v>0</v>
      </c>
      <c r="E83" s="1" t="s">
        <v>14</v>
      </c>
      <c r="F83" s="2" t="s">
        <v>0</v>
      </c>
      <c r="G83" s="17" t="s">
        <v>1769</v>
      </c>
    </row>
    <row r="84" spans="1:7" ht="57.75" x14ac:dyDescent="0.25">
      <c r="A84" s="2" t="str">
        <f>"0000254U"</f>
        <v>0000254U</v>
      </c>
      <c r="B84" s="2" t="str">
        <f>"  "</f>
        <v xml:space="preserve">  </v>
      </c>
      <c r="C84" s="1" t="s">
        <v>75</v>
      </c>
      <c r="D84" s="1" t="s">
        <v>0</v>
      </c>
      <c r="E84" s="1" t="s">
        <v>14</v>
      </c>
      <c r="F84" s="2" t="s">
        <v>0</v>
      </c>
      <c r="G84" s="17" t="s">
        <v>1769</v>
      </c>
    </row>
    <row r="85" spans="1:7" ht="57.75" x14ac:dyDescent="0.25">
      <c r="A85" s="2" t="str">
        <f>"0000254U"</f>
        <v>0000254U</v>
      </c>
      <c r="B85" s="2" t="str">
        <f>"90"</f>
        <v>90</v>
      </c>
      <c r="C85" s="1" t="s">
        <v>75</v>
      </c>
      <c r="D85" s="1" t="s">
        <v>0</v>
      </c>
      <c r="E85" s="1" t="s">
        <v>14</v>
      </c>
      <c r="F85" s="2" t="s">
        <v>0</v>
      </c>
      <c r="G85" s="17" t="s">
        <v>1769</v>
      </c>
    </row>
    <row r="86" spans="1:7" ht="43.5" x14ac:dyDescent="0.25">
      <c r="A86" s="2" t="str">
        <f>"0000255U"</f>
        <v>0000255U</v>
      </c>
      <c r="B86" s="2" t="str">
        <f>"  "</f>
        <v xml:space="preserve">  </v>
      </c>
      <c r="C86" s="1" t="s">
        <v>76</v>
      </c>
      <c r="D86" s="1" t="s">
        <v>0</v>
      </c>
      <c r="E86" s="1" t="s">
        <v>14</v>
      </c>
      <c r="F86" s="2" t="s">
        <v>0</v>
      </c>
      <c r="G86" s="17" t="s">
        <v>1769</v>
      </c>
    </row>
    <row r="87" spans="1:7" ht="43.5" x14ac:dyDescent="0.25">
      <c r="A87" s="2" t="str">
        <f>"0000255U"</f>
        <v>0000255U</v>
      </c>
      <c r="B87" s="2" t="str">
        <f>"90"</f>
        <v>90</v>
      </c>
      <c r="C87" s="1" t="s">
        <v>76</v>
      </c>
      <c r="D87" s="1" t="s">
        <v>0</v>
      </c>
      <c r="E87" s="1" t="s">
        <v>14</v>
      </c>
      <c r="F87" s="2" t="s">
        <v>0</v>
      </c>
      <c r="G87" s="17" t="s">
        <v>1769</v>
      </c>
    </row>
    <row r="88" spans="1:7" ht="43.5" x14ac:dyDescent="0.25">
      <c r="A88" s="2" t="str">
        <f>"0000256U"</f>
        <v>0000256U</v>
      </c>
      <c r="B88" s="2" t="str">
        <f>"  "</f>
        <v xml:space="preserve">  </v>
      </c>
      <c r="C88" s="1" t="s">
        <v>77</v>
      </c>
      <c r="D88" s="1" t="s">
        <v>0</v>
      </c>
      <c r="E88" s="1" t="s">
        <v>14</v>
      </c>
      <c r="F88" s="2" t="s">
        <v>0</v>
      </c>
      <c r="G88" s="17" t="s">
        <v>1769</v>
      </c>
    </row>
    <row r="89" spans="1:7" ht="43.5" x14ac:dyDescent="0.25">
      <c r="A89" s="2" t="str">
        <f>"0000256U"</f>
        <v>0000256U</v>
      </c>
      <c r="B89" s="2" t="str">
        <f>"90"</f>
        <v>90</v>
      </c>
      <c r="C89" s="1" t="s">
        <v>77</v>
      </c>
      <c r="D89" s="1" t="s">
        <v>0</v>
      </c>
      <c r="E89" s="1" t="s">
        <v>14</v>
      </c>
      <c r="F89" s="2" t="s">
        <v>0</v>
      </c>
      <c r="G89" s="17" t="s">
        <v>1769</v>
      </c>
    </row>
    <row r="90" spans="1:7" ht="57.75" x14ac:dyDescent="0.25">
      <c r="A90" s="2" t="str">
        <f>"0000257U"</f>
        <v>0000257U</v>
      </c>
      <c r="B90" s="2" t="str">
        <f>"  "</f>
        <v xml:space="preserve">  </v>
      </c>
      <c r="C90" s="1" t="s">
        <v>78</v>
      </c>
      <c r="D90" s="1" t="s">
        <v>0</v>
      </c>
      <c r="E90" s="1" t="s">
        <v>14</v>
      </c>
      <c r="F90" s="2" t="s">
        <v>0</v>
      </c>
      <c r="G90" s="17" t="s">
        <v>1769</v>
      </c>
    </row>
    <row r="91" spans="1:7" ht="57.75" x14ac:dyDescent="0.25">
      <c r="A91" s="2" t="str">
        <f>"0000257U"</f>
        <v>0000257U</v>
      </c>
      <c r="B91" s="2" t="str">
        <f>"90"</f>
        <v>90</v>
      </c>
      <c r="C91" s="1" t="s">
        <v>78</v>
      </c>
      <c r="D91" s="1" t="s">
        <v>0</v>
      </c>
      <c r="E91" s="1" t="s">
        <v>14</v>
      </c>
      <c r="F91" s="2" t="s">
        <v>0</v>
      </c>
      <c r="G91" s="17" t="s">
        <v>1769</v>
      </c>
    </row>
    <row r="92" spans="1:7" ht="57.75" x14ac:dyDescent="0.25">
      <c r="A92" s="2" t="str">
        <f>"0000258U"</f>
        <v>0000258U</v>
      </c>
      <c r="B92" s="2" t="str">
        <f>"  "</f>
        <v xml:space="preserve">  </v>
      </c>
      <c r="C92" s="1" t="s">
        <v>79</v>
      </c>
      <c r="D92" s="1" t="s">
        <v>0</v>
      </c>
      <c r="E92" s="1" t="s">
        <v>14</v>
      </c>
      <c r="F92" s="2" t="s">
        <v>0</v>
      </c>
      <c r="G92" s="17" t="s">
        <v>1769</v>
      </c>
    </row>
    <row r="93" spans="1:7" ht="57.75" x14ac:dyDescent="0.25">
      <c r="A93" s="2" t="str">
        <f>"0000258U"</f>
        <v>0000258U</v>
      </c>
      <c r="B93" s="2" t="str">
        <f>"90"</f>
        <v>90</v>
      </c>
      <c r="C93" s="1" t="s">
        <v>79</v>
      </c>
      <c r="D93" s="1" t="s">
        <v>0</v>
      </c>
      <c r="E93" s="1" t="s">
        <v>14</v>
      </c>
      <c r="F93" s="2" t="s">
        <v>0</v>
      </c>
      <c r="G93" s="17" t="s">
        <v>1769</v>
      </c>
    </row>
    <row r="94" spans="1:7" ht="43.5" x14ac:dyDescent="0.25">
      <c r="A94" s="2" t="str">
        <f>"0000259U"</f>
        <v>0000259U</v>
      </c>
      <c r="B94" s="2" t="str">
        <f>"  "</f>
        <v xml:space="preserve">  </v>
      </c>
      <c r="C94" s="1" t="s">
        <v>80</v>
      </c>
      <c r="D94" s="1" t="s">
        <v>0</v>
      </c>
      <c r="E94" s="1" t="s">
        <v>14</v>
      </c>
      <c r="F94" s="2" t="s">
        <v>0</v>
      </c>
      <c r="G94" s="17" t="s">
        <v>1769</v>
      </c>
    </row>
    <row r="95" spans="1:7" ht="43.5" x14ac:dyDescent="0.25">
      <c r="A95" s="2" t="str">
        <f>"0000259U"</f>
        <v>0000259U</v>
      </c>
      <c r="B95" s="2" t="str">
        <f>"90"</f>
        <v>90</v>
      </c>
      <c r="C95" s="1" t="s">
        <v>80</v>
      </c>
      <c r="D95" s="1" t="s">
        <v>0</v>
      </c>
      <c r="E95" s="1" t="s">
        <v>14</v>
      </c>
      <c r="F95" s="2" t="s">
        <v>0</v>
      </c>
      <c r="G95" s="17" t="s">
        <v>1769</v>
      </c>
    </row>
    <row r="96" spans="1:7" ht="57.75" x14ac:dyDescent="0.25">
      <c r="A96" s="2" t="str">
        <f>"0000260U"</f>
        <v>0000260U</v>
      </c>
      <c r="B96" s="2" t="str">
        <f>"  "</f>
        <v xml:space="preserve">  </v>
      </c>
      <c r="C96" s="1" t="s">
        <v>81</v>
      </c>
      <c r="D96" s="1" t="s">
        <v>0</v>
      </c>
      <c r="E96" s="1" t="s">
        <v>14</v>
      </c>
      <c r="F96" s="2" t="s">
        <v>0</v>
      </c>
      <c r="G96" s="17" t="s">
        <v>1769</v>
      </c>
    </row>
    <row r="97" spans="1:7" ht="57.75" x14ac:dyDescent="0.25">
      <c r="A97" s="2" t="str">
        <f>"0000260U"</f>
        <v>0000260U</v>
      </c>
      <c r="B97" s="2" t="str">
        <f>"90"</f>
        <v>90</v>
      </c>
      <c r="C97" s="1" t="s">
        <v>81</v>
      </c>
      <c r="D97" s="1" t="s">
        <v>0</v>
      </c>
      <c r="E97" s="1" t="s">
        <v>14</v>
      </c>
      <c r="F97" s="2" t="s">
        <v>0</v>
      </c>
      <c r="G97" s="17" t="s">
        <v>1769</v>
      </c>
    </row>
    <row r="98" spans="1:7" ht="43.5" x14ac:dyDescent="0.25">
      <c r="A98" s="2" t="str">
        <f>"0000261U"</f>
        <v>0000261U</v>
      </c>
      <c r="B98" s="2" t="str">
        <f>"  "</f>
        <v xml:space="preserve">  </v>
      </c>
      <c r="C98" s="1" t="s">
        <v>82</v>
      </c>
      <c r="D98" s="1" t="s">
        <v>0</v>
      </c>
      <c r="E98" s="1" t="s">
        <v>14</v>
      </c>
      <c r="F98" s="2" t="s">
        <v>0</v>
      </c>
      <c r="G98" s="17" t="s">
        <v>1769</v>
      </c>
    </row>
    <row r="99" spans="1:7" ht="43.5" x14ac:dyDescent="0.25">
      <c r="A99" s="2" t="str">
        <f>"0000261U"</f>
        <v>0000261U</v>
      </c>
      <c r="B99" s="2" t="str">
        <f>"90"</f>
        <v>90</v>
      </c>
      <c r="C99" s="1" t="s">
        <v>82</v>
      </c>
      <c r="D99" s="1" t="s">
        <v>0</v>
      </c>
      <c r="E99" s="1" t="s">
        <v>14</v>
      </c>
      <c r="F99" s="2" t="s">
        <v>0</v>
      </c>
      <c r="G99" s="17" t="s">
        <v>1769</v>
      </c>
    </row>
    <row r="100" spans="1:7" ht="43.5" x14ac:dyDescent="0.25">
      <c r="A100" s="2" t="str">
        <f>"0000262U"</f>
        <v>0000262U</v>
      </c>
      <c r="B100" s="2" t="str">
        <f>"  "</f>
        <v xml:space="preserve">  </v>
      </c>
      <c r="C100" s="1" t="s">
        <v>83</v>
      </c>
      <c r="D100" s="1" t="s">
        <v>0</v>
      </c>
      <c r="E100" s="1" t="s">
        <v>14</v>
      </c>
      <c r="F100" s="2" t="s">
        <v>0</v>
      </c>
      <c r="G100" s="17" t="s">
        <v>1769</v>
      </c>
    </row>
    <row r="101" spans="1:7" ht="43.5" x14ac:dyDescent="0.25">
      <c r="A101" s="2" t="str">
        <f>"0000262U"</f>
        <v>0000262U</v>
      </c>
      <c r="B101" s="2" t="str">
        <f>"90"</f>
        <v>90</v>
      </c>
      <c r="C101" s="1" t="s">
        <v>83</v>
      </c>
      <c r="D101" s="1" t="s">
        <v>0</v>
      </c>
      <c r="E101" s="1" t="s">
        <v>14</v>
      </c>
      <c r="F101" s="2" t="s">
        <v>0</v>
      </c>
      <c r="G101" s="17" t="s">
        <v>1769</v>
      </c>
    </row>
    <row r="102" spans="1:7" ht="43.5" x14ac:dyDescent="0.25">
      <c r="A102" s="2" t="str">
        <f>"0000263U"</f>
        <v>0000263U</v>
      </c>
      <c r="B102" s="2" t="str">
        <f>"  "</f>
        <v xml:space="preserve">  </v>
      </c>
      <c r="C102" s="1" t="s">
        <v>84</v>
      </c>
      <c r="D102" s="1" t="s">
        <v>0</v>
      </c>
      <c r="E102" s="1" t="s">
        <v>14</v>
      </c>
      <c r="F102" s="2" t="s">
        <v>0</v>
      </c>
      <c r="G102" s="17" t="s">
        <v>1769</v>
      </c>
    </row>
    <row r="103" spans="1:7" ht="43.5" x14ac:dyDescent="0.25">
      <c r="A103" s="2" t="str">
        <f>"0000263U"</f>
        <v>0000263U</v>
      </c>
      <c r="B103" s="2" t="str">
        <f>"90"</f>
        <v>90</v>
      </c>
      <c r="C103" s="1" t="s">
        <v>84</v>
      </c>
      <c r="D103" s="1" t="s">
        <v>0</v>
      </c>
      <c r="E103" s="1" t="s">
        <v>14</v>
      </c>
      <c r="F103" s="2" t="s">
        <v>0</v>
      </c>
      <c r="G103" s="17" t="s">
        <v>1769</v>
      </c>
    </row>
    <row r="104" spans="1:7" ht="57.75" x14ac:dyDescent="0.25">
      <c r="A104" s="2" t="str">
        <f>"0000264U"</f>
        <v>0000264U</v>
      </c>
      <c r="B104" s="2" t="str">
        <f>"  "</f>
        <v xml:space="preserve">  </v>
      </c>
      <c r="C104" s="1" t="s">
        <v>81</v>
      </c>
      <c r="D104" s="1" t="s">
        <v>0</v>
      </c>
      <c r="E104" s="1" t="s">
        <v>14</v>
      </c>
      <c r="F104" s="2" t="s">
        <v>0</v>
      </c>
      <c r="G104" s="17" t="s">
        <v>1769</v>
      </c>
    </row>
    <row r="105" spans="1:7" ht="57.75" x14ac:dyDescent="0.25">
      <c r="A105" s="2" t="str">
        <f>"0000264U"</f>
        <v>0000264U</v>
      </c>
      <c r="B105" s="2" t="str">
        <f>"90"</f>
        <v>90</v>
      </c>
      <c r="C105" s="1" t="s">
        <v>81</v>
      </c>
      <c r="D105" s="1" t="s">
        <v>0</v>
      </c>
      <c r="E105" s="1" t="s">
        <v>14</v>
      </c>
      <c r="F105" s="2" t="s">
        <v>0</v>
      </c>
      <c r="G105" s="17" t="s">
        <v>1769</v>
      </c>
    </row>
    <row r="106" spans="1:7" ht="43.5" x14ac:dyDescent="0.25">
      <c r="A106" s="2" t="str">
        <f>"0000265U"</f>
        <v>0000265U</v>
      </c>
      <c r="B106" s="2" t="str">
        <f>"  "</f>
        <v xml:space="preserve">  </v>
      </c>
      <c r="C106" s="1" t="s">
        <v>85</v>
      </c>
      <c r="D106" s="1" t="s">
        <v>0</v>
      </c>
      <c r="E106" s="1" t="s">
        <v>14</v>
      </c>
      <c r="F106" s="2" t="s">
        <v>0</v>
      </c>
      <c r="G106" s="17" t="s">
        <v>1769</v>
      </c>
    </row>
    <row r="107" spans="1:7" ht="43.5" x14ac:dyDescent="0.25">
      <c r="A107" s="2" t="str">
        <f>"0000265U"</f>
        <v>0000265U</v>
      </c>
      <c r="B107" s="2" t="str">
        <f>"90"</f>
        <v>90</v>
      </c>
      <c r="C107" s="1" t="s">
        <v>85</v>
      </c>
      <c r="D107" s="1" t="s">
        <v>0</v>
      </c>
      <c r="E107" s="1" t="s">
        <v>14</v>
      </c>
      <c r="F107" s="2" t="s">
        <v>0</v>
      </c>
      <c r="G107" s="17" t="s">
        <v>1769</v>
      </c>
    </row>
    <row r="108" spans="1:7" ht="43.5" x14ac:dyDescent="0.25">
      <c r="A108" s="2" t="str">
        <f>"0000266U"</f>
        <v>0000266U</v>
      </c>
      <c r="B108" s="2" t="str">
        <f>"  "</f>
        <v xml:space="preserve">  </v>
      </c>
      <c r="C108" s="1" t="s">
        <v>86</v>
      </c>
      <c r="D108" s="1" t="s">
        <v>0</v>
      </c>
      <c r="E108" s="1" t="s">
        <v>14</v>
      </c>
      <c r="F108" s="2" t="s">
        <v>0</v>
      </c>
      <c r="G108" s="17" t="s">
        <v>1769</v>
      </c>
    </row>
    <row r="109" spans="1:7" ht="43.5" x14ac:dyDescent="0.25">
      <c r="A109" s="2" t="str">
        <f>"0000266U"</f>
        <v>0000266U</v>
      </c>
      <c r="B109" s="2" t="str">
        <f>"90"</f>
        <v>90</v>
      </c>
      <c r="C109" s="1" t="s">
        <v>86</v>
      </c>
      <c r="D109" s="1" t="s">
        <v>0</v>
      </c>
      <c r="E109" s="1" t="s">
        <v>14</v>
      </c>
      <c r="F109" s="2" t="s">
        <v>0</v>
      </c>
      <c r="G109" s="17" t="s">
        <v>1769</v>
      </c>
    </row>
    <row r="110" spans="1:7" ht="43.5" x14ac:dyDescent="0.25">
      <c r="A110" s="2" t="str">
        <f>"0000267U"</f>
        <v>0000267U</v>
      </c>
      <c r="B110" s="2" t="str">
        <f>"  "</f>
        <v xml:space="preserve">  </v>
      </c>
      <c r="C110" s="1" t="s">
        <v>87</v>
      </c>
      <c r="D110" s="1" t="s">
        <v>0</v>
      </c>
      <c r="E110" s="1" t="s">
        <v>14</v>
      </c>
      <c r="F110" s="2" t="s">
        <v>0</v>
      </c>
      <c r="G110" s="17" t="s">
        <v>1769</v>
      </c>
    </row>
    <row r="111" spans="1:7" ht="43.5" x14ac:dyDescent="0.25">
      <c r="A111" s="2" t="str">
        <f>"0000267U"</f>
        <v>0000267U</v>
      </c>
      <c r="B111" s="2" t="str">
        <f>"90"</f>
        <v>90</v>
      </c>
      <c r="C111" s="1" t="s">
        <v>87</v>
      </c>
      <c r="D111" s="1" t="s">
        <v>0</v>
      </c>
      <c r="E111" s="1" t="s">
        <v>14</v>
      </c>
      <c r="F111" s="2" t="s">
        <v>0</v>
      </c>
      <c r="G111" s="17" t="s">
        <v>1769</v>
      </c>
    </row>
    <row r="112" spans="1:7" ht="57.75" x14ac:dyDescent="0.25">
      <c r="A112" s="2" t="str">
        <f>"0000268U"</f>
        <v>0000268U</v>
      </c>
      <c r="B112" s="2" t="str">
        <f>"  "</f>
        <v xml:space="preserve">  </v>
      </c>
      <c r="C112" s="1" t="s">
        <v>88</v>
      </c>
      <c r="D112" s="1" t="s">
        <v>0</v>
      </c>
      <c r="E112" s="1" t="s">
        <v>14</v>
      </c>
      <c r="F112" s="2" t="s">
        <v>0</v>
      </c>
      <c r="G112" s="17" t="s">
        <v>1769</v>
      </c>
    </row>
    <row r="113" spans="1:7" ht="57.75" x14ac:dyDescent="0.25">
      <c r="A113" s="2" t="str">
        <f>"0000268U"</f>
        <v>0000268U</v>
      </c>
      <c r="B113" s="2" t="str">
        <f>"90"</f>
        <v>90</v>
      </c>
      <c r="C113" s="1" t="s">
        <v>88</v>
      </c>
      <c r="D113" s="1" t="s">
        <v>0</v>
      </c>
      <c r="E113" s="1" t="s">
        <v>14</v>
      </c>
      <c r="F113" s="2" t="s">
        <v>0</v>
      </c>
      <c r="G113" s="17" t="s">
        <v>1769</v>
      </c>
    </row>
    <row r="114" spans="1:7" ht="57.75" x14ac:dyDescent="0.25">
      <c r="A114" s="2" t="str">
        <f>"0000269U"</f>
        <v>0000269U</v>
      </c>
      <c r="B114" s="2" t="str">
        <f>"  "</f>
        <v xml:space="preserve">  </v>
      </c>
      <c r="C114" s="1" t="s">
        <v>89</v>
      </c>
      <c r="D114" s="1" t="s">
        <v>0</v>
      </c>
      <c r="E114" s="1" t="s">
        <v>14</v>
      </c>
      <c r="F114" s="2" t="s">
        <v>0</v>
      </c>
      <c r="G114" s="17" t="s">
        <v>1769</v>
      </c>
    </row>
    <row r="115" spans="1:7" ht="57.75" x14ac:dyDescent="0.25">
      <c r="A115" s="2" t="str">
        <f>"0000269U"</f>
        <v>0000269U</v>
      </c>
      <c r="B115" s="2" t="str">
        <f>"90"</f>
        <v>90</v>
      </c>
      <c r="C115" s="1" t="s">
        <v>89</v>
      </c>
      <c r="D115" s="1" t="s">
        <v>0</v>
      </c>
      <c r="E115" s="1" t="s">
        <v>14</v>
      </c>
      <c r="F115" s="2" t="s">
        <v>0</v>
      </c>
      <c r="G115" s="17" t="s">
        <v>1769</v>
      </c>
    </row>
    <row r="116" spans="1:7" ht="57.75" x14ac:dyDescent="0.25">
      <c r="A116" s="2" t="str">
        <f>"0000270U"</f>
        <v>0000270U</v>
      </c>
      <c r="B116" s="2" t="str">
        <f>"  "</f>
        <v xml:space="preserve">  </v>
      </c>
      <c r="C116" s="1" t="s">
        <v>90</v>
      </c>
      <c r="D116" s="1" t="s">
        <v>0</v>
      </c>
      <c r="E116" s="1" t="s">
        <v>14</v>
      </c>
      <c r="F116" s="2" t="s">
        <v>0</v>
      </c>
      <c r="G116" s="17" t="s">
        <v>1769</v>
      </c>
    </row>
    <row r="117" spans="1:7" ht="57.75" x14ac:dyDescent="0.25">
      <c r="A117" s="2" t="str">
        <f>"0000270U"</f>
        <v>0000270U</v>
      </c>
      <c r="B117" s="2" t="str">
        <f>"90"</f>
        <v>90</v>
      </c>
      <c r="C117" s="1" t="s">
        <v>90</v>
      </c>
      <c r="D117" s="1" t="s">
        <v>0</v>
      </c>
      <c r="E117" s="1" t="s">
        <v>14</v>
      </c>
      <c r="F117" s="2" t="s">
        <v>0</v>
      </c>
      <c r="G117" s="17" t="s">
        <v>1769</v>
      </c>
    </row>
    <row r="118" spans="1:7" ht="57.75" x14ac:dyDescent="0.25">
      <c r="A118" s="2" t="str">
        <f>"0000271U"</f>
        <v>0000271U</v>
      </c>
      <c r="B118" s="2" t="str">
        <f>"  "</f>
        <v xml:space="preserve">  </v>
      </c>
      <c r="C118" s="1" t="s">
        <v>91</v>
      </c>
      <c r="D118" s="1" t="s">
        <v>0</v>
      </c>
      <c r="E118" s="1" t="s">
        <v>14</v>
      </c>
      <c r="F118" s="2" t="s">
        <v>0</v>
      </c>
      <c r="G118" s="17" t="s">
        <v>1769</v>
      </c>
    </row>
    <row r="119" spans="1:7" ht="57.75" x14ac:dyDescent="0.25">
      <c r="A119" s="2" t="str">
        <f>"0000271U"</f>
        <v>0000271U</v>
      </c>
      <c r="B119" s="2" t="str">
        <f>"90"</f>
        <v>90</v>
      </c>
      <c r="C119" s="1" t="s">
        <v>91</v>
      </c>
      <c r="D119" s="1" t="s">
        <v>0</v>
      </c>
      <c r="E119" s="1" t="s">
        <v>14</v>
      </c>
      <c r="F119" s="2" t="s">
        <v>0</v>
      </c>
      <c r="G119" s="17" t="s">
        <v>1769</v>
      </c>
    </row>
    <row r="120" spans="1:7" ht="43.5" x14ac:dyDescent="0.25">
      <c r="A120" s="2" t="str">
        <f>"0000272U"</f>
        <v>0000272U</v>
      </c>
      <c r="B120" s="2" t="str">
        <f>"  "</f>
        <v xml:space="preserve">  </v>
      </c>
      <c r="C120" s="1" t="s">
        <v>92</v>
      </c>
      <c r="D120" s="1" t="s">
        <v>0</v>
      </c>
      <c r="E120" s="1" t="s">
        <v>14</v>
      </c>
      <c r="F120" s="2" t="s">
        <v>0</v>
      </c>
      <c r="G120" s="17" t="s">
        <v>1769</v>
      </c>
    </row>
    <row r="121" spans="1:7" ht="43.5" x14ac:dyDescent="0.25">
      <c r="A121" s="2" t="str">
        <f>"0000272U"</f>
        <v>0000272U</v>
      </c>
      <c r="B121" s="2" t="str">
        <f>"90"</f>
        <v>90</v>
      </c>
      <c r="C121" s="1" t="s">
        <v>92</v>
      </c>
      <c r="D121" s="1" t="s">
        <v>0</v>
      </c>
      <c r="E121" s="1" t="s">
        <v>14</v>
      </c>
      <c r="F121" s="2" t="s">
        <v>0</v>
      </c>
      <c r="G121" s="17" t="s">
        <v>1769</v>
      </c>
    </row>
    <row r="122" spans="1:7" ht="57.75" x14ac:dyDescent="0.25">
      <c r="A122" s="2" t="str">
        <f>"0000273U"</f>
        <v>0000273U</v>
      </c>
      <c r="B122" s="2" t="str">
        <f>"  "</f>
        <v xml:space="preserve">  </v>
      </c>
      <c r="C122" s="1" t="s">
        <v>93</v>
      </c>
      <c r="D122" s="1" t="s">
        <v>0</v>
      </c>
      <c r="E122" s="1" t="s">
        <v>14</v>
      </c>
      <c r="F122" s="2" t="s">
        <v>0</v>
      </c>
      <c r="G122" s="17" t="s">
        <v>1769</v>
      </c>
    </row>
    <row r="123" spans="1:7" ht="57.75" x14ac:dyDescent="0.25">
      <c r="A123" s="2" t="str">
        <f>"0000273U"</f>
        <v>0000273U</v>
      </c>
      <c r="B123" s="2" t="str">
        <f>"90"</f>
        <v>90</v>
      </c>
      <c r="C123" s="1" t="s">
        <v>93</v>
      </c>
      <c r="D123" s="1" t="s">
        <v>0</v>
      </c>
      <c r="E123" s="1" t="s">
        <v>14</v>
      </c>
      <c r="F123" s="2" t="s">
        <v>0</v>
      </c>
      <c r="G123" s="17" t="s">
        <v>1769</v>
      </c>
    </row>
    <row r="124" spans="1:7" ht="43.5" x14ac:dyDescent="0.25">
      <c r="A124" s="2" t="str">
        <f>"0000274U"</f>
        <v>0000274U</v>
      </c>
      <c r="B124" s="2" t="str">
        <f>"  "</f>
        <v xml:space="preserve">  </v>
      </c>
      <c r="C124" s="1" t="s">
        <v>94</v>
      </c>
      <c r="D124" s="1" t="s">
        <v>0</v>
      </c>
      <c r="E124" s="1" t="s">
        <v>14</v>
      </c>
      <c r="F124" s="2" t="s">
        <v>0</v>
      </c>
      <c r="G124" s="17" t="s">
        <v>1769</v>
      </c>
    </row>
    <row r="125" spans="1:7" ht="43.5" x14ac:dyDescent="0.25">
      <c r="A125" s="2" t="str">
        <f>"0000274U"</f>
        <v>0000274U</v>
      </c>
      <c r="B125" s="2" t="str">
        <f>"90"</f>
        <v>90</v>
      </c>
      <c r="C125" s="1" t="s">
        <v>94</v>
      </c>
      <c r="D125" s="1" t="s">
        <v>0</v>
      </c>
      <c r="E125" s="1" t="s">
        <v>14</v>
      </c>
      <c r="F125" s="2" t="s">
        <v>0</v>
      </c>
      <c r="G125" s="17" t="s">
        <v>1769</v>
      </c>
    </row>
    <row r="126" spans="1:7" ht="43.5" x14ac:dyDescent="0.25">
      <c r="A126" s="2" t="str">
        <f>"0000275U"</f>
        <v>0000275U</v>
      </c>
      <c r="B126" s="2" t="str">
        <f>"  "</f>
        <v xml:space="preserve">  </v>
      </c>
      <c r="C126" s="1" t="s">
        <v>95</v>
      </c>
      <c r="D126" s="1" t="s">
        <v>0</v>
      </c>
      <c r="E126" s="1" t="s">
        <v>14</v>
      </c>
      <c r="F126" s="2" t="s">
        <v>0</v>
      </c>
      <c r="G126" s="17" t="s">
        <v>1769</v>
      </c>
    </row>
    <row r="127" spans="1:7" ht="43.5" x14ac:dyDescent="0.25">
      <c r="A127" s="2" t="str">
        <f>"0000275U"</f>
        <v>0000275U</v>
      </c>
      <c r="B127" s="2" t="str">
        <f>"90"</f>
        <v>90</v>
      </c>
      <c r="C127" s="1" t="s">
        <v>95</v>
      </c>
      <c r="D127" s="1" t="s">
        <v>0</v>
      </c>
      <c r="E127" s="1" t="s">
        <v>14</v>
      </c>
      <c r="F127" s="2" t="s">
        <v>0</v>
      </c>
      <c r="G127" s="17" t="s">
        <v>1769</v>
      </c>
    </row>
    <row r="128" spans="1:7" ht="43.5" x14ac:dyDescent="0.25">
      <c r="A128" s="2" t="str">
        <f>"0000276U"</f>
        <v>0000276U</v>
      </c>
      <c r="B128" s="2" t="str">
        <f>"  "</f>
        <v xml:space="preserve">  </v>
      </c>
      <c r="C128" s="1" t="s">
        <v>96</v>
      </c>
      <c r="D128" s="1" t="s">
        <v>0</v>
      </c>
      <c r="E128" s="1" t="s">
        <v>14</v>
      </c>
      <c r="F128" s="2" t="s">
        <v>0</v>
      </c>
      <c r="G128" s="17" t="s">
        <v>1769</v>
      </c>
    </row>
    <row r="129" spans="1:7" ht="43.5" x14ac:dyDescent="0.25">
      <c r="A129" s="2" t="str">
        <f>"0000276U"</f>
        <v>0000276U</v>
      </c>
      <c r="B129" s="2" t="str">
        <f>"90"</f>
        <v>90</v>
      </c>
      <c r="C129" s="1" t="s">
        <v>96</v>
      </c>
      <c r="D129" s="1" t="s">
        <v>0</v>
      </c>
      <c r="E129" s="1" t="s">
        <v>14</v>
      </c>
      <c r="F129" s="2" t="s">
        <v>0</v>
      </c>
      <c r="G129" s="17" t="s">
        <v>1769</v>
      </c>
    </row>
    <row r="130" spans="1:7" ht="43.5" x14ac:dyDescent="0.25">
      <c r="A130" s="2" t="str">
        <f>"0000277U"</f>
        <v>0000277U</v>
      </c>
      <c r="B130" s="2" t="str">
        <f>"  "</f>
        <v xml:space="preserve">  </v>
      </c>
      <c r="C130" s="1" t="s">
        <v>97</v>
      </c>
      <c r="D130" s="1" t="s">
        <v>0</v>
      </c>
      <c r="E130" s="1" t="s">
        <v>14</v>
      </c>
      <c r="F130" s="2" t="s">
        <v>0</v>
      </c>
      <c r="G130" s="17" t="s">
        <v>1769</v>
      </c>
    </row>
    <row r="131" spans="1:7" ht="43.5" x14ac:dyDescent="0.25">
      <c r="A131" s="2" t="str">
        <f>"0000277U"</f>
        <v>0000277U</v>
      </c>
      <c r="B131" s="2" t="str">
        <f>"90"</f>
        <v>90</v>
      </c>
      <c r="C131" s="1" t="s">
        <v>97</v>
      </c>
      <c r="D131" s="1" t="s">
        <v>0</v>
      </c>
      <c r="E131" s="1" t="s">
        <v>14</v>
      </c>
      <c r="F131" s="2" t="s">
        <v>0</v>
      </c>
      <c r="G131" s="17" t="s">
        <v>1769</v>
      </c>
    </row>
    <row r="132" spans="1:7" ht="57.75" x14ac:dyDescent="0.25">
      <c r="A132" s="2" t="str">
        <f>"0000278U"</f>
        <v>0000278U</v>
      </c>
      <c r="B132" s="2" t="str">
        <f>"  "</f>
        <v xml:space="preserve">  </v>
      </c>
      <c r="C132" s="1" t="s">
        <v>98</v>
      </c>
      <c r="D132" s="1" t="s">
        <v>0</v>
      </c>
      <c r="E132" s="1" t="s">
        <v>14</v>
      </c>
      <c r="F132" s="2" t="s">
        <v>0</v>
      </c>
      <c r="G132" s="17" t="s">
        <v>1769</v>
      </c>
    </row>
    <row r="133" spans="1:7" ht="57.75" x14ac:dyDescent="0.25">
      <c r="A133" s="2" t="str">
        <f>"0000278U"</f>
        <v>0000278U</v>
      </c>
      <c r="B133" s="2" t="str">
        <f>"90"</f>
        <v>90</v>
      </c>
      <c r="C133" s="1" t="s">
        <v>98</v>
      </c>
      <c r="D133" s="1" t="s">
        <v>0</v>
      </c>
      <c r="E133" s="1" t="s">
        <v>14</v>
      </c>
      <c r="F133" s="2" t="s">
        <v>0</v>
      </c>
      <c r="G133" s="17" t="s">
        <v>1769</v>
      </c>
    </row>
    <row r="134" spans="1:7" ht="43.5" x14ac:dyDescent="0.25">
      <c r="A134" s="2" t="str">
        <f>"0000279U"</f>
        <v>0000279U</v>
      </c>
      <c r="B134" s="2" t="str">
        <f>"  "</f>
        <v xml:space="preserve">  </v>
      </c>
      <c r="C134" s="1" t="s">
        <v>99</v>
      </c>
      <c r="D134" s="1" t="s">
        <v>0</v>
      </c>
      <c r="E134" s="1" t="s">
        <v>14</v>
      </c>
      <c r="F134" s="2" t="s">
        <v>0</v>
      </c>
      <c r="G134" s="17" t="s">
        <v>1769</v>
      </c>
    </row>
    <row r="135" spans="1:7" ht="43.5" x14ac:dyDescent="0.25">
      <c r="A135" s="2" t="str">
        <f>"0000279U"</f>
        <v>0000279U</v>
      </c>
      <c r="B135" s="2" t="str">
        <f>"90"</f>
        <v>90</v>
      </c>
      <c r="C135" s="1" t="s">
        <v>99</v>
      </c>
      <c r="D135" s="1" t="s">
        <v>0</v>
      </c>
      <c r="E135" s="1" t="s">
        <v>14</v>
      </c>
      <c r="F135" s="2" t="s">
        <v>0</v>
      </c>
      <c r="G135" s="17" t="s">
        <v>1769</v>
      </c>
    </row>
    <row r="136" spans="1:7" ht="43.5" x14ac:dyDescent="0.25">
      <c r="A136" s="2" t="str">
        <f>"0000280U"</f>
        <v>0000280U</v>
      </c>
      <c r="B136" s="2" t="str">
        <f>"  "</f>
        <v xml:space="preserve">  </v>
      </c>
      <c r="C136" s="1" t="s">
        <v>99</v>
      </c>
      <c r="D136" s="1" t="s">
        <v>0</v>
      </c>
      <c r="E136" s="1" t="s">
        <v>14</v>
      </c>
      <c r="F136" s="2" t="s">
        <v>0</v>
      </c>
      <c r="G136" s="17" t="s">
        <v>1769</v>
      </c>
    </row>
    <row r="137" spans="1:7" ht="43.5" x14ac:dyDescent="0.25">
      <c r="A137" s="2" t="str">
        <f>"0000280U"</f>
        <v>0000280U</v>
      </c>
      <c r="B137" s="2" t="str">
        <f>"90"</f>
        <v>90</v>
      </c>
      <c r="C137" s="1" t="s">
        <v>99</v>
      </c>
      <c r="D137" s="1" t="s">
        <v>0</v>
      </c>
      <c r="E137" s="1" t="s">
        <v>14</v>
      </c>
      <c r="F137" s="2" t="s">
        <v>0</v>
      </c>
      <c r="G137" s="17" t="s">
        <v>1769</v>
      </c>
    </row>
    <row r="138" spans="1:7" ht="43.5" x14ac:dyDescent="0.25">
      <c r="A138" s="2" t="str">
        <f>"0000281U"</f>
        <v>0000281U</v>
      </c>
      <c r="B138" s="2" t="str">
        <f>"  "</f>
        <v xml:space="preserve">  </v>
      </c>
      <c r="C138" s="1" t="s">
        <v>100</v>
      </c>
      <c r="D138" s="1" t="s">
        <v>0</v>
      </c>
      <c r="E138" s="1" t="s">
        <v>14</v>
      </c>
      <c r="F138" s="2" t="s">
        <v>0</v>
      </c>
      <c r="G138" s="17" t="s">
        <v>1769</v>
      </c>
    </row>
    <row r="139" spans="1:7" ht="43.5" x14ac:dyDescent="0.25">
      <c r="A139" s="2" t="str">
        <f>"0000281U"</f>
        <v>0000281U</v>
      </c>
      <c r="B139" s="2" t="str">
        <f>"90"</f>
        <v>90</v>
      </c>
      <c r="C139" s="1" t="s">
        <v>100</v>
      </c>
      <c r="D139" s="1" t="s">
        <v>0</v>
      </c>
      <c r="E139" s="1" t="s">
        <v>14</v>
      </c>
      <c r="F139" s="2" t="s">
        <v>0</v>
      </c>
      <c r="G139" s="17" t="s">
        <v>1769</v>
      </c>
    </row>
    <row r="140" spans="1:7" ht="43.5" x14ac:dyDescent="0.25">
      <c r="A140" s="2" t="str">
        <f>"0000282U"</f>
        <v>0000282U</v>
      </c>
      <c r="B140" s="2" t="str">
        <f>"  "</f>
        <v xml:space="preserve">  </v>
      </c>
      <c r="C140" s="1" t="s">
        <v>101</v>
      </c>
      <c r="D140" s="1" t="s">
        <v>0</v>
      </c>
      <c r="E140" s="1" t="s">
        <v>14</v>
      </c>
      <c r="F140" s="2" t="s">
        <v>0</v>
      </c>
      <c r="G140" s="17" t="s">
        <v>1769</v>
      </c>
    </row>
    <row r="141" spans="1:7" ht="43.5" x14ac:dyDescent="0.25">
      <c r="A141" s="2" t="str">
        <f>"0000282U"</f>
        <v>0000282U</v>
      </c>
      <c r="B141" s="2" t="str">
        <f>"90"</f>
        <v>90</v>
      </c>
      <c r="C141" s="1" t="s">
        <v>101</v>
      </c>
      <c r="D141" s="1" t="s">
        <v>0</v>
      </c>
      <c r="E141" s="1" t="s">
        <v>14</v>
      </c>
      <c r="F141" s="2" t="s">
        <v>0</v>
      </c>
      <c r="G141" s="17" t="s">
        <v>1769</v>
      </c>
    </row>
    <row r="142" spans="1:7" ht="43.5" x14ac:dyDescent="0.25">
      <c r="A142" s="2" t="str">
        <f>"0000283U"</f>
        <v>0000283U</v>
      </c>
      <c r="B142" s="2" t="str">
        <f>"  "</f>
        <v xml:space="preserve">  </v>
      </c>
      <c r="C142" s="1" t="s">
        <v>102</v>
      </c>
      <c r="D142" s="1" t="s">
        <v>0</v>
      </c>
      <c r="E142" s="1" t="s">
        <v>14</v>
      </c>
      <c r="F142" s="2" t="s">
        <v>0</v>
      </c>
      <c r="G142" s="17" t="s">
        <v>1769</v>
      </c>
    </row>
    <row r="143" spans="1:7" ht="43.5" x14ac:dyDescent="0.25">
      <c r="A143" s="2" t="str">
        <f>"0000283U"</f>
        <v>0000283U</v>
      </c>
      <c r="B143" s="2" t="str">
        <f>"90"</f>
        <v>90</v>
      </c>
      <c r="C143" s="1" t="s">
        <v>102</v>
      </c>
      <c r="D143" s="1" t="s">
        <v>0</v>
      </c>
      <c r="E143" s="1" t="s">
        <v>14</v>
      </c>
      <c r="F143" s="2" t="s">
        <v>0</v>
      </c>
      <c r="G143" s="17" t="s">
        <v>1769</v>
      </c>
    </row>
    <row r="144" spans="1:7" ht="43.5" x14ac:dyDescent="0.25">
      <c r="A144" s="2" t="str">
        <f>"0000284U"</f>
        <v>0000284U</v>
      </c>
      <c r="B144" s="2" t="str">
        <f>"  "</f>
        <v xml:space="preserve">  </v>
      </c>
      <c r="C144" s="1" t="s">
        <v>103</v>
      </c>
      <c r="D144" s="1" t="s">
        <v>0</v>
      </c>
      <c r="E144" s="1" t="s">
        <v>12</v>
      </c>
      <c r="F144" s="2" t="s">
        <v>0</v>
      </c>
      <c r="G144" s="3">
        <v>17.27</v>
      </c>
    </row>
    <row r="145" spans="1:7" ht="43.5" x14ac:dyDescent="0.25">
      <c r="A145" s="2" t="str">
        <f>"0000284U"</f>
        <v>0000284U</v>
      </c>
      <c r="B145" s="2" t="str">
        <f>"90"</f>
        <v>90</v>
      </c>
      <c r="C145" s="1" t="s">
        <v>103</v>
      </c>
      <c r="D145" s="1" t="s">
        <v>0</v>
      </c>
      <c r="E145" s="1" t="s">
        <v>14</v>
      </c>
      <c r="F145" s="2" t="s">
        <v>0</v>
      </c>
      <c r="G145" s="17" t="s">
        <v>1769</v>
      </c>
    </row>
    <row r="146" spans="1:7" ht="43.5" x14ac:dyDescent="0.25">
      <c r="A146" s="2" t="str">
        <f>"0000285U"</f>
        <v>0000285U</v>
      </c>
      <c r="B146" s="2" t="str">
        <f>"  "</f>
        <v xml:space="preserve">  </v>
      </c>
      <c r="C146" s="1" t="s">
        <v>104</v>
      </c>
      <c r="D146" s="1" t="s">
        <v>0</v>
      </c>
      <c r="E146" s="1" t="s">
        <v>14</v>
      </c>
      <c r="F146" s="2" t="s">
        <v>0</v>
      </c>
      <c r="G146" s="17" t="s">
        <v>1769</v>
      </c>
    </row>
    <row r="147" spans="1:7" ht="43.5" x14ac:dyDescent="0.25">
      <c r="A147" s="2" t="str">
        <f>"0000285U"</f>
        <v>0000285U</v>
      </c>
      <c r="B147" s="2" t="str">
        <f>"90"</f>
        <v>90</v>
      </c>
      <c r="C147" s="1" t="s">
        <v>104</v>
      </c>
      <c r="D147" s="1" t="s">
        <v>0</v>
      </c>
      <c r="E147" s="1" t="s">
        <v>14</v>
      </c>
      <c r="F147" s="2" t="s">
        <v>0</v>
      </c>
      <c r="G147" s="17" t="s">
        <v>1769</v>
      </c>
    </row>
    <row r="148" spans="1:7" ht="43.5" x14ac:dyDescent="0.25">
      <c r="A148" s="2" t="str">
        <f>"0000286U"</f>
        <v>0000286U</v>
      </c>
      <c r="B148" s="2" t="str">
        <f>"  "</f>
        <v xml:space="preserve">  </v>
      </c>
      <c r="C148" s="1" t="s">
        <v>105</v>
      </c>
      <c r="D148" s="1" t="s">
        <v>0</v>
      </c>
      <c r="E148" s="1" t="s">
        <v>14</v>
      </c>
      <c r="F148" s="2" t="s">
        <v>0</v>
      </c>
      <c r="G148" s="17" t="s">
        <v>1769</v>
      </c>
    </row>
    <row r="149" spans="1:7" ht="43.5" x14ac:dyDescent="0.25">
      <c r="A149" s="2" t="str">
        <f>"0000286U"</f>
        <v>0000286U</v>
      </c>
      <c r="B149" s="2" t="str">
        <f>"90"</f>
        <v>90</v>
      </c>
      <c r="C149" s="1" t="s">
        <v>105</v>
      </c>
      <c r="D149" s="1" t="s">
        <v>0</v>
      </c>
      <c r="E149" s="1" t="s">
        <v>14</v>
      </c>
      <c r="F149" s="2" t="s">
        <v>0</v>
      </c>
      <c r="G149" s="17" t="s">
        <v>1769</v>
      </c>
    </row>
    <row r="150" spans="1:7" ht="43.5" x14ac:dyDescent="0.25">
      <c r="A150" s="2" t="str">
        <f>"0000287U"</f>
        <v>0000287U</v>
      </c>
      <c r="B150" s="2" t="str">
        <f>"  "</f>
        <v xml:space="preserve">  </v>
      </c>
      <c r="C150" s="1" t="s">
        <v>106</v>
      </c>
      <c r="D150" s="1" t="s">
        <v>0</v>
      </c>
      <c r="E150" s="1" t="s">
        <v>14</v>
      </c>
      <c r="F150" s="2" t="s">
        <v>0</v>
      </c>
      <c r="G150" s="17" t="s">
        <v>1769</v>
      </c>
    </row>
    <row r="151" spans="1:7" ht="43.5" x14ac:dyDescent="0.25">
      <c r="A151" s="2" t="str">
        <f>"0000287U"</f>
        <v>0000287U</v>
      </c>
      <c r="B151" s="2" t="str">
        <f>"90"</f>
        <v>90</v>
      </c>
      <c r="C151" s="1" t="s">
        <v>106</v>
      </c>
      <c r="D151" s="1" t="s">
        <v>0</v>
      </c>
      <c r="E151" s="1" t="s">
        <v>14</v>
      </c>
      <c r="F151" s="2" t="s">
        <v>0</v>
      </c>
      <c r="G151" s="17" t="s">
        <v>1769</v>
      </c>
    </row>
    <row r="152" spans="1:7" ht="43.5" x14ac:dyDescent="0.25">
      <c r="A152" s="2" t="str">
        <f>"0000288U"</f>
        <v>0000288U</v>
      </c>
      <c r="B152" s="2" t="str">
        <f>"  "</f>
        <v xml:space="preserve">  </v>
      </c>
      <c r="C152" s="1" t="s">
        <v>107</v>
      </c>
      <c r="D152" s="1" t="s">
        <v>0</v>
      </c>
      <c r="E152" s="1" t="s">
        <v>14</v>
      </c>
      <c r="F152" s="2" t="s">
        <v>0</v>
      </c>
      <c r="G152" s="17" t="s">
        <v>1769</v>
      </c>
    </row>
    <row r="153" spans="1:7" ht="43.5" x14ac:dyDescent="0.25">
      <c r="A153" s="2" t="str">
        <f>"0000288U"</f>
        <v>0000288U</v>
      </c>
      <c r="B153" s="2" t="str">
        <f>"90"</f>
        <v>90</v>
      </c>
      <c r="C153" s="1" t="s">
        <v>107</v>
      </c>
      <c r="D153" s="1" t="s">
        <v>0</v>
      </c>
      <c r="E153" s="1" t="s">
        <v>14</v>
      </c>
      <c r="F153" s="2" t="s">
        <v>0</v>
      </c>
      <c r="G153" s="17" t="s">
        <v>1769</v>
      </c>
    </row>
    <row r="154" spans="1:7" ht="57.75" x14ac:dyDescent="0.25">
      <c r="A154" s="2" t="str">
        <f>"0000289U"</f>
        <v>0000289U</v>
      </c>
      <c r="B154" s="2" t="str">
        <f>"  "</f>
        <v xml:space="preserve">  </v>
      </c>
      <c r="C154" s="1" t="s">
        <v>108</v>
      </c>
      <c r="D154" s="1" t="s">
        <v>0</v>
      </c>
      <c r="E154" s="1" t="s">
        <v>14</v>
      </c>
      <c r="F154" s="2" t="s">
        <v>0</v>
      </c>
      <c r="G154" s="17" t="s">
        <v>1769</v>
      </c>
    </row>
    <row r="155" spans="1:7" ht="57.75" x14ac:dyDescent="0.25">
      <c r="A155" s="2" t="str">
        <f>"0000289U"</f>
        <v>0000289U</v>
      </c>
      <c r="B155" s="2" t="str">
        <f>"90"</f>
        <v>90</v>
      </c>
      <c r="C155" s="1" t="s">
        <v>108</v>
      </c>
      <c r="D155" s="1" t="s">
        <v>0</v>
      </c>
      <c r="E155" s="1" t="s">
        <v>14</v>
      </c>
      <c r="F155" s="2" t="s">
        <v>0</v>
      </c>
      <c r="G155" s="17" t="s">
        <v>1769</v>
      </c>
    </row>
    <row r="156" spans="1:7" ht="43.5" x14ac:dyDescent="0.25">
      <c r="A156" s="2" t="str">
        <f>"0000290U"</f>
        <v>0000290U</v>
      </c>
      <c r="B156" s="2" t="str">
        <f>"  "</f>
        <v xml:space="preserve">  </v>
      </c>
      <c r="C156" s="1" t="s">
        <v>109</v>
      </c>
      <c r="D156" s="1" t="s">
        <v>0</v>
      </c>
      <c r="E156" s="1" t="s">
        <v>14</v>
      </c>
      <c r="F156" s="2" t="s">
        <v>0</v>
      </c>
      <c r="G156" s="17" t="s">
        <v>1769</v>
      </c>
    </row>
    <row r="157" spans="1:7" ht="43.5" x14ac:dyDescent="0.25">
      <c r="A157" s="2" t="str">
        <f>"0000290U"</f>
        <v>0000290U</v>
      </c>
      <c r="B157" s="2" t="str">
        <f>"90"</f>
        <v>90</v>
      </c>
      <c r="C157" s="1" t="s">
        <v>109</v>
      </c>
      <c r="D157" s="1" t="s">
        <v>0</v>
      </c>
      <c r="E157" s="1" t="s">
        <v>14</v>
      </c>
      <c r="F157" s="2" t="s">
        <v>0</v>
      </c>
      <c r="G157" s="17" t="s">
        <v>1769</v>
      </c>
    </row>
    <row r="158" spans="1:7" ht="43.5" x14ac:dyDescent="0.25">
      <c r="A158" s="2" t="str">
        <f>"0000291U"</f>
        <v>0000291U</v>
      </c>
      <c r="B158" s="2" t="str">
        <f>"  "</f>
        <v xml:space="preserve">  </v>
      </c>
      <c r="C158" s="1" t="s">
        <v>110</v>
      </c>
      <c r="D158" s="1" t="s">
        <v>0</v>
      </c>
      <c r="E158" s="1" t="s">
        <v>14</v>
      </c>
      <c r="F158" s="2" t="s">
        <v>0</v>
      </c>
      <c r="G158" s="17" t="s">
        <v>1769</v>
      </c>
    </row>
    <row r="159" spans="1:7" ht="43.5" x14ac:dyDescent="0.25">
      <c r="A159" s="2" t="str">
        <f>"0000291U"</f>
        <v>0000291U</v>
      </c>
      <c r="B159" s="2" t="str">
        <f>"90"</f>
        <v>90</v>
      </c>
      <c r="C159" s="1" t="s">
        <v>110</v>
      </c>
      <c r="D159" s="1" t="s">
        <v>0</v>
      </c>
      <c r="E159" s="1" t="s">
        <v>14</v>
      </c>
      <c r="F159" s="2" t="s">
        <v>0</v>
      </c>
      <c r="G159" s="17" t="s">
        <v>1769</v>
      </c>
    </row>
    <row r="160" spans="1:7" ht="43.5" x14ac:dyDescent="0.25">
      <c r="A160" s="2" t="str">
        <f>"0000292U"</f>
        <v>0000292U</v>
      </c>
      <c r="B160" s="2" t="str">
        <f>"  "</f>
        <v xml:space="preserve">  </v>
      </c>
      <c r="C160" s="1" t="s">
        <v>111</v>
      </c>
      <c r="D160" s="1" t="s">
        <v>0</v>
      </c>
      <c r="E160" s="1" t="s">
        <v>14</v>
      </c>
      <c r="F160" s="2" t="s">
        <v>0</v>
      </c>
      <c r="G160" s="17" t="s">
        <v>1769</v>
      </c>
    </row>
    <row r="161" spans="1:7" ht="43.5" x14ac:dyDescent="0.25">
      <c r="A161" s="2" t="str">
        <f>"0000292U"</f>
        <v>0000292U</v>
      </c>
      <c r="B161" s="2" t="str">
        <f>"90"</f>
        <v>90</v>
      </c>
      <c r="C161" s="1" t="s">
        <v>111</v>
      </c>
      <c r="D161" s="1" t="s">
        <v>0</v>
      </c>
      <c r="E161" s="1" t="s">
        <v>14</v>
      </c>
      <c r="F161" s="2" t="s">
        <v>0</v>
      </c>
      <c r="G161" s="17" t="s">
        <v>1769</v>
      </c>
    </row>
    <row r="162" spans="1:7" ht="43.5" x14ac:dyDescent="0.25">
      <c r="A162" s="2" t="str">
        <f>"0000293U"</f>
        <v>0000293U</v>
      </c>
      <c r="B162" s="2" t="str">
        <f>"  "</f>
        <v xml:space="preserve">  </v>
      </c>
      <c r="C162" s="1" t="s">
        <v>112</v>
      </c>
      <c r="D162" s="1" t="s">
        <v>0</v>
      </c>
      <c r="E162" s="1" t="s">
        <v>14</v>
      </c>
      <c r="F162" s="2" t="s">
        <v>0</v>
      </c>
      <c r="G162" s="17" t="s">
        <v>1769</v>
      </c>
    </row>
    <row r="163" spans="1:7" ht="43.5" x14ac:dyDescent="0.25">
      <c r="A163" s="2" t="str">
        <f>"0000293U"</f>
        <v>0000293U</v>
      </c>
      <c r="B163" s="2" t="str">
        <f>"90"</f>
        <v>90</v>
      </c>
      <c r="C163" s="1" t="s">
        <v>112</v>
      </c>
      <c r="D163" s="1" t="s">
        <v>0</v>
      </c>
      <c r="E163" s="1" t="s">
        <v>14</v>
      </c>
      <c r="F163" s="2" t="s">
        <v>0</v>
      </c>
      <c r="G163" s="17" t="s">
        <v>1769</v>
      </c>
    </row>
    <row r="164" spans="1:7" ht="43.5" x14ac:dyDescent="0.25">
      <c r="A164" s="2" t="str">
        <f>"0000294U"</f>
        <v>0000294U</v>
      </c>
      <c r="B164" s="2" t="str">
        <f>"  "</f>
        <v xml:space="preserve">  </v>
      </c>
      <c r="C164" s="1" t="s">
        <v>113</v>
      </c>
      <c r="D164" s="1" t="s">
        <v>0</v>
      </c>
      <c r="E164" s="1" t="s">
        <v>14</v>
      </c>
      <c r="F164" s="2" t="s">
        <v>0</v>
      </c>
      <c r="G164" s="17" t="s">
        <v>1769</v>
      </c>
    </row>
    <row r="165" spans="1:7" ht="43.5" x14ac:dyDescent="0.25">
      <c r="A165" s="2" t="str">
        <f>"0000294U"</f>
        <v>0000294U</v>
      </c>
      <c r="B165" s="2" t="str">
        <f>"90"</f>
        <v>90</v>
      </c>
      <c r="C165" s="1" t="s">
        <v>113</v>
      </c>
      <c r="D165" s="1" t="s">
        <v>0</v>
      </c>
      <c r="E165" s="1" t="s">
        <v>14</v>
      </c>
      <c r="F165" s="2" t="s">
        <v>0</v>
      </c>
      <c r="G165" s="17" t="s">
        <v>1769</v>
      </c>
    </row>
    <row r="166" spans="1:7" ht="43.5" x14ac:dyDescent="0.25">
      <c r="A166" s="2" t="str">
        <f>"0000295U"</f>
        <v>0000295U</v>
      </c>
      <c r="B166" s="2" t="str">
        <f>"  "</f>
        <v xml:space="preserve">  </v>
      </c>
      <c r="C166" s="1" t="s">
        <v>114</v>
      </c>
      <c r="D166" s="1" t="s">
        <v>0</v>
      </c>
      <c r="E166" s="1" t="s">
        <v>14</v>
      </c>
      <c r="F166" s="2" t="s">
        <v>0</v>
      </c>
      <c r="G166" s="17" t="s">
        <v>1769</v>
      </c>
    </row>
    <row r="167" spans="1:7" ht="43.5" x14ac:dyDescent="0.25">
      <c r="A167" s="2" t="str">
        <f>"0000295U"</f>
        <v>0000295U</v>
      </c>
      <c r="B167" s="2" t="str">
        <f>"90"</f>
        <v>90</v>
      </c>
      <c r="C167" s="1" t="s">
        <v>114</v>
      </c>
      <c r="D167" s="1" t="s">
        <v>0</v>
      </c>
      <c r="E167" s="1" t="s">
        <v>14</v>
      </c>
      <c r="F167" s="2" t="s">
        <v>0</v>
      </c>
      <c r="G167" s="17" t="s">
        <v>1769</v>
      </c>
    </row>
    <row r="168" spans="1:7" ht="43.5" x14ac:dyDescent="0.25">
      <c r="A168" s="2" t="str">
        <f>"0000296U"</f>
        <v>0000296U</v>
      </c>
      <c r="B168" s="2" t="str">
        <f>"  "</f>
        <v xml:space="preserve">  </v>
      </c>
      <c r="C168" s="1" t="s">
        <v>115</v>
      </c>
      <c r="D168" s="1" t="s">
        <v>0</v>
      </c>
      <c r="E168" s="1" t="s">
        <v>14</v>
      </c>
      <c r="F168" s="2" t="s">
        <v>0</v>
      </c>
      <c r="G168" s="17" t="s">
        <v>1769</v>
      </c>
    </row>
    <row r="169" spans="1:7" ht="43.5" x14ac:dyDescent="0.25">
      <c r="A169" s="2" t="str">
        <f>"0000296U"</f>
        <v>0000296U</v>
      </c>
      <c r="B169" s="2" t="str">
        <f>"90"</f>
        <v>90</v>
      </c>
      <c r="C169" s="1" t="s">
        <v>115</v>
      </c>
      <c r="D169" s="1" t="s">
        <v>0</v>
      </c>
      <c r="E169" s="1" t="s">
        <v>14</v>
      </c>
      <c r="F169" s="2" t="s">
        <v>0</v>
      </c>
      <c r="G169" s="17" t="s">
        <v>1769</v>
      </c>
    </row>
    <row r="170" spans="1:7" ht="43.5" x14ac:dyDescent="0.25">
      <c r="A170" s="2" t="str">
        <f>"0000297U"</f>
        <v>0000297U</v>
      </c>
      <c r="B170" s="2" t="str">
        <f>"  "</f>
        <v xml:space="preserve">  </v>
      </c>
      <c r="C170" s="1" t="s">
        <v>116</v>
      </c>
      <c r="D170" s="1" t="s">
        <v>0</v>
      </c>
      <c r="E170" s="1" t="s">
        <v>14</v>
      </c>
      <c r="F170" s="2" t="s">
        <v>0</v>
      </c>
      <c r="G170" s="17" t="s">
        <v>1769</v>
      </c>
    </row>
    <row r="171" spans="1:7" ht="43.5" x14ac:dyDescent="0.25">
      <c r="A171" s="2" t="str">
        <f>"0000297U"</f>
        <v>0000297U</v>
      </c>
      <c r="B171" s="2" t="str">
        <f>"90"</f>
        <v>90</v>
      </c>
      <c r="C171" s="1" t="s">
        <v>116</v>
      </c>
      <c r="D171" s="1" t="s">
        <v>0</v>
      </c>
      <c r="E171" s="1" t="s">
        <v>14</v>
      </c>
      <c r="F171" s="2" t="s">
        <v>0</v>
      </c>
      <c r="G171" s="17" t="s">
        <v>1769</v>
      </c>
    </row>
    <row r="172" spans="1:7" ht="43.5" x14ac:dyDescent="0.25">
      <c r="A172" s="2" t="str">
        <f>"0000298U"</f>
        <v>0000298U</v>
      </c>
      <c r="B172" s="2" t="str">
        <f>"  "</f>
        <v xml:space="preserve">  </v>
      </c>
      <c r="C172" s="1" t="s">
        <v>117</v>
      </c>
      <c r="D172" s="1" t="s">
        <v>0</v>
      </c>
      <c r="E172" s="1" t="s">
        <v>14</v>
      </c>
      <c r="F172" s="2" t="s">
        <v>0</v>
      </c>
      <c r="G172" s="17" t="s">
        <v>1769</v>
      </c>
    </row>
    <row r="173" spans="1:7" ht="43.5" x14ac:dyDescent="0.25">
      <c r="A173" s="2" t="str">
        <f>"0000298U"</f>
        <v>0000298U</v>
      </c>
      <c r="B173" s="2" t="str">
        <f>"90"</f>
        <v>90</v>
      </c>
      <c r="C173" s="1" t="s">
        <v>117</v>
      </c>
      <c r="D173" s="1" t="s">
        <v>0</v>
      </c>
      <c r="E173" s="1" t="s">
        <v>14</v>
      </c>
      <c r="F173" s="2" t="s">
        <v>0</v>
      </c>
      <c r="G173" s="17" t="s">
        <v>1769</v>
      </c>
    </row>
    <row r="174" spans="1:7" ht="43.5" x14ac:dyDescent="0.25">
      <c r="A174" s="2" t="str">
        <f>"0000299U"</f>
        <v>0000299U</v>
      </c>
      <c r="B174" s="2" t="str">
        <f>"  "</f>
        <v xml:space="preserve">  </v>
      </c>
      <c r="C174" s="1" t="s">
        <v>118</v>
      </c>
      <c r="D174" s="1" t="s">
        <v>0</v>
      </c>
      <c r="E174" s="1" t="s">
        <v>14</v>
      </c>
      <c r="F174" s="2" t="s">
        <v>0</v>
      </c>
      <c r="G174" s="17" t="s">
        <v>1769</v>
      </c>
    </row>
    <row r="175" spans="1:7" ht="43.5" x14ac:dyDescent="0.25">
      <c r="A175" s="2" t="str">
        <f>"0000299U"</f>
        <v>0000299U</v>
      </c>
      <c r="B175" s="2" t="str">
        <f>"90"</f>
        <v>90</v>
      </c>
      <c r="C175" s="1" t="s">
        <v>118</v>
      </c>
      <c r="D175" s="1" t="s">
        <v>0</v>
      </c>
      <c r="E175" s="1" t="s">
        <v>14</v>
      </c>
      <c r="F175" s="2" t="s">
        <v>0</v>
      </c>
      <c r="G175" s="17" t="s">
        <v>1769</v>
      </c>
    </row>
    <row r="176" spans="1:7" ht="43.5" x14ac:dyDescent="0.25">
      <c r="A176" s="2" t="str">
        <f>"0000300U"</f>
        <v>0000300U</v>
      </c>
      <c r="B176" s="2" t="str">
        <f>"  "</f>
        <v xml:space="preserve">  </v>
      </c>
      <c r="C176" s="1" t="s">
        <v>119</v>
      </c>
      <c r="D176" s="1" t="s">
        <v>0</v>
      </c>
      <c r="E176" s="1" t="s">
        <v>14</v>
      </c>
      <c r="F176" s="2" t="s">
        <v>0</v>
      </c>
      <c r="G176" s="17" t="s">
        <v>1769</v>
      </c>
    </row>
    <row r="177" spans="1:7" ht="43.5" x14ac:dyDescent="0.25">
      <c r="A177" s="2" t="str">
        <f>"0000300U"</f>
        <v>0000300U</v>
      </c>
      <c r="B177" s="2" t="str">
        <f>"90"</f>
        <v>90</v>
      </c>
      <c r="C177" s="1" t="s">
        <v>119</v>
      </c>
      <c r="D177" s="1" t="s">
        <v>0</v>
      </c>
      <c r="E177" s="1" t="s">
        <v>14</v>
      </c>
      <c r="F177" s="2" t="s">
        <v>0</v>
      </c>
      <c r="G177" s="17" t="s">
        <v>1769</v>
      </c>
    </row>
    <row r="178" spans="1:7" ht="43.5" x14ac:dyDescent="0.25">
      <c r="A178" s="2" t="str">
        <f>"0000301U"</f>
        <v>0000301U</v>
      </c>
      <c r="B178" s="2" t="str">
        <f>"  "</f>
        <v xml:space="preserve">  </v>
      </c>
      <c r="C178" s="1" t="s">
        <v>120</v>
      </c>
      <c r="D178" s="1" t="s">
        <v>0</v>
      </c>
      <c r="E178" s="1" t="s">
        <v>14</v>
      </c>
      <c r="F178" s="2" t="s">
        <v>0</v>
      </c>
      <c r="G178" s="17" t="s">
        <v>1769</v>
      </c>
    </row>
    <row r="179" spans="1:7" ht="43.5" x14ac:dyDescent="0.25">
      <c r="A179" s="2" t="str">
        <f>"0000301U"</f>
        <v>0000301U</v>
      </c>
      <c r="B179" s="2" t="str">
        <f>"90"</f>
        <v>90</v>
      </c>
      <c r="C179" s="1" t="s">
        <v>120</v>
      </c>
      <c r="D179" s="1" t="s">
        <v>0</v>
      </c>
      <c r="E179" s="1" t="s">
        <v>14</v>
      </c>
      <c r="F179" s="2" t="s">
        <v>0</v>
      </c>
      <c r="G179" s="17" t="s">
        <v>1769</v>
      </c>
    </row>
    <row r="180" spans="1:7" ht="43.5" x14ac:dyDescent="0.25">
      <c r="A180" s="2" t="str">
        <f>"0000302U"</f>
        <v>0000302U</v>
      </c>
      <c r="B180" s="2" t="str">
        <f>"  "</f>
        <v xml:space="preserve">  </v>
      </c>
      <c r="C180" s="1" t="s">
        <v>120</v>
      </c>
      <c r="D180" s="1" t="s">
        <v>0</v>
      </c>
      <c r="E180" s="1" t="s">
        <v>14</v>
      </c>
      <c r="F180" s="2" t="s">
        <v>0</v>
      </c>
      <c r="G180" s="17" t="s">
        <v>1769</v>
      </c>
    </row>
    <row r="181" spans="1:7" ht="43.5" x14ac:dyDescent="0.25">
      <c r="A181" s="2" t="str">
        <f>"0000302U"</f>
        <v>0000302U</v>
      </c>
      <c r="B181" s="2" t="str">
        <f>"90"</f>
        <v>90</v>
      </c>
      <c r="C181" s="1" t="s">
        <v>120</v>
      </c>
      <c r="D181" s="1" t="s">
        <v>0</v>
      </c>
      <c r="E181" s="1" t="s">
        <v>14</v>
      </c>
      <c r="F181" s="2" t="s">
        <v>0</v>
      </c>
      <c r="G181" s="17" t="s">
        <v>1769</v>
      </c>
    </row>
    <row r="182" spans="1:7" ht="57.75" x14ac:dyDescent="0.25">
      <c r="A182" s="2" t="str">
        <f>"0000303U"</f>
        <v>0000303U</v>
      </c>
      <c r="B182" s="2" t="str">
        <f>"  "</f>
        <v xml:space="preserve">  </v>
      </c>
      <c r="C182" s="1" t="s">
        <v>121</v>
      </c>
      <c r="D182" s="1" t="s">
        <v>0</v>
      </c>
      <c r="E182" s="1" t="s">
        <v>14</v>
      </c>
      <c r="F182" s="2" t="s">
        <v>0</v>
      </c>
      <c r="G182" s="17" t="s">
        <v>1769</v>
      </c>
    </row>
    <row r="183" spans="1:7" ht="57.75" x14ac:dyDescent="0.25">
      <c r="A183" s="2" t="str">
        <f>"0000303U"</f>
        <v>0000303U</v>
      </c>
      <c r="B183" s="2" t="str">
        <f>"90"</f>
        <v>90</v>
      </c>
      <c r="C183" s="1" t="s">
        <v>121</v>
      </c>
      <c r="D183" s="1" t="s">
        <v>0</v>
      </c>
      <c r="E183" s="1" t="s">
        <v>14</v>
      </c>
      <c r="F183" s="2" t="s">
        <v>0</v>
      </c>
      <c r="G183" s="17" t="s">
        <v>1769</v>
      </c>
    </row>
    <row r="184" spans="1:7" ht="57.75" x14ac:dyDescent="0.25">
      <c r="A184" s="2" t="str">
        <f>"0000304U"</f>
        <v>0000304U</v>
      </c>
      <c r="B184" s="2" t="str">
        <f>"  "</f>
        <v xml:space="preserve">  </v>
      </c>
      <c r="C184" s="1" t="s">
        <v>121</v>
      </c>
      <c r="D184" s="1" t="s">
        <v>0</v>
      </c>
      <c r="E184" s="1" t="s">
        <v>14</v>
      </c>
      <c r="F184" s="2" t="s">
        <v>0</v>
      </c>
      <c r="G184" s="17" t="s">
        <v>1769</v>
      </c>
    </row>
    <row r="185" spans="1:7" ht="57.75" x14ac:dyDescent="0.25">
      <c r="A185" s="2" t="str">
        <f>"0000304U"</f>
        <v>0000304U</v>
      </c>
      <c r="B185" s="2" t="str">
        <f>"90"</f>
        <v>90</v>
      </c>
      <c r="C185" s="1" t="s">
        <v>121</v>
      </c>
      <c r="D185" s="1" t="s">
        <v>0</v>
      </c>
      <c r="E185" s="1" t="s">
        <v>14</v>
      </c>
      <c r="F185" s="2" t="s">
        <v>0</v>
      </c>
      <c r="G185" s="17" t="s">
        <v>1769</v>
      </c>
    </row>
    <row r="186" spans="1:7" ht="43.5" x14ac:dyDescent="0.25">
      <c r="A186" s="2" t="str">
        <f>"0000305U"</f>
        <v>0000305U</v>
      </c>
      <c r="B186" s="2" t="str">
        <f>"  "</f>
        <v xml:space="preserve">  </v>
      </c>
      <c r="C186" s="1" t="s">
        <v>122</v>
      </c>
      <c r="D186" s="1" t="s">
        <v>0</v>
      </c>
      <c r="E186" s="1" t="s">
        <v>14</v>
      </c>
      <c r="F186" s="2" t="s">
        <v>0</v>
      </c>
      <c r="G186" s="17" t="s">
        <v>1769</v>
      </c>
    </row>
    <row r="187" spans="1:7" ht="43.5" x14ac:dyDescent="0.25">
      <c r="A187" s="2" t="str">
        <f>"0000305U"</f>
        <v>0000305U</v>
      </c>
      <c r="B187" s="2" t="str">
        <f>"90"</f>
        <v>90</v>
      </c>
      <c r="C187" s="1" t="s">
        <v>122</v>
      </c>
      <c r="D187" s="1" t="s">
        <v>0</v>
      </c>
      <c r="E187" s="1" t="s">
        <v>14</v>
      </c>
      <c r="F187" s="2" t="s">
        <v>0</v>
      </c>
      <c r="G187" s="17" t="s">
        <v>1769</v>
      </c>
    </row>
    <row r="188" spans="1:7" ht="57.75" x14ac:dyDescent="0.25">
      <c r="A188" s="2" t="str">
        <f>"0000306U"</f>
        <v>0000306U</v>
      </c>
      <c r="B188" s="2" t="str">
        <f>"  "</f>
        <v xml:space="preserve">  </v>
      </c>
      <c r="C188" s="1" t="s">
        <v>123</v>
      </c>
      <c r="D188" s="1" t="s">
        <v>0</v>
      </c>
      <c r="E188" s="1" t="s">
        <v>14</v>
      </c>
      <c r="F188" s="2" t="s">
        <v>0</v>
      </c>
      <c r="G188" s="17" t="s">
        <v>1769</v>
      </c>
    </row>
    <row r="189" spans="1:7" ht="57.75" x14ac:dyDescent="0.25">
      <c r="A189" s="2" t="str">
        <f>"0000306U"</f>
        <v>0000306U</v>
      </c>
      <c r="B189" s="2" t="str">
        <f>"90"</f>
        <v>90</v>
      </c>
      <c r="C189" s="1" t="s">
        <v>123</v>
      </c>
      <c r="D189" s="1" t="s">
        <v>0</v>
      </c>
      <c r="E189" s="1" t="s">
        <v>14</v>
      </c>
      <c r="F189" s="2" t="s">
        <v>0</v>
      </c>
      <c r="G189" s="17" t="s">
        <v>1769</v>
      </c>
    </row>
    <row r="190" spans="1:7" ht="57.75" x14ac:dyDescent="0.25">
      <c r="A190" s="2" t="str">
        <f>"0000307U"</f>
        <v>0000307U</v>
      </c>
      <c r="B190" s="2" t="str">
        <f>"  "</f>
        <v xml:space="preserve">  </v>
      </c>
      <c r="C190" s="1" t="s">
        <v>123</v>
      </c>
      <c r="D190" s="1" t="s">
        <v>0</v>
      </c>
      <c r="E190" s="1" t="s">
        <v>14</v>
      </c>
      <c r="F190" s="2" t="s">
        <v>0</v>
      </c>
      <c r="G190" s="17" t="s">
        <v>1769</v>
      </c>
    </row>
    <row r="191" spans="1:7" ht="57.75" x14ac:dyDescent="0.25">
      <c r="A191" s="2" t="str">
        <f>"0000307U"</f>
        <v>0000307U</v>
      </c>
      <c r="B191" s="2" t="str">
        <f>"90"</f>
        <v>90</v>
      </c>
      <c r="C191" s="1" t="s">
        <v>123</v>
      </c>
      <c r="D191" s="1" t="s">
        <v>0</v>
      </c>
      <c r="E191" s="1" t="s">
        <v>14</v>
      </c>
      <c r="F191" s="2" t="s">
        <v>0</v>
      </c>
      <c r="G191" s="17" t="s">
        <v>1769</v>
      </c>
    </row>
    <row r="192" spans="1:7" ht="43.5" x14ac:dyDescent="0.25">
      <c r="A192" s="2" t="str">
        <f>"0000308U"</f>
        <v>0000308U</v>
      </c>
      <c r="B192" s="2" t="str">
        <f>"  "</f>
        <v xml:space="preserve">  </v>
      </c>
      <c r="C192" s="1" t="s">
        <v>124</v>
      </c>
      <c r="D192" s="1" t="s">
        <v>0</v>
      </c>
      <c r="E192" s="1" t="s">
        <v>14</v>
      </c>
      <c r="F192" s="2" t="s">
        <v>0</v>
      </c>
      <c r="G192" s="17" t="s">
        <v>1769</v>
      </c>
    </row>
    <row r="193" spans="1:7" ht="43.5" x14ac:dyDescent="0.25">
      <c r="A193" s="2" t="str">
        <f>"0000308U"</f>
        <v>0000308U</v>
      </c>
      <c r="B193" s="2" t="str">
        <f>"90"</f>
        <v>90</v>
      </c>
      <c r="C193" s="1" t="s">
        <v>124</v>
      </c>
      <c r="D193" s="1" t="s">
        <v>0</v>
      </c>
      <c r="E193" s="1" t="s">
        <v>14</v>
      </c>
      <c r="F193" s="2" t="s">
        <v>0</v>
      </c>
      <c r="G193" s="17" t="s">
        <v>1769</v>
      </c>
    </row>
    <row r="194" spans="1:7" ht="43.5" x14ac:dyDescent="0.25">
      <c r="A194" s="2" t="str">
        <f>"0000309U"</f>
        <v>0000309U</v>
      </c>
      <c r="B194" s="2" t="str">
        <f>"  "</f>
        <v xml:space="preserve">  </v>
      </c>
      <c r="C194" s="1" t="s">
        <v>125</v>
      </c>
      <c r="D194" s="1" t="s">
        <v>0</v>
      </c>
      <c r="E194" s="1" t="s">
        <v>14</v>
      </c>
      <c r="F194" s="2" t="s">
        <v>0</v>
      </c>
      <c r="G194" s="17" t="s">
        <v>1769</v>
      </c>
    </row>
    <row r="195" spans="1:7" ht="43.5" x14ac:dyDescent="0.25">
      <c r="A195" s="2" t="str">
        <f>"0000309U"</f>
        <v>0000309U</v>
      </c>
      <c r="B195" s="2" t="str">
        <f>"90"</f>
        <v>90</v>
      </c>
      <c r="C195" s="1" t="s">
        <v>125</v>
      </c>
      <c r="D195" s="1" t="s">
        <v>0</v>
      </c>
      <c r="E195" s="1" t="s">
        <v>14</v>
      </c>
      <c r="F195" s="2" t="s">
        <v>0</v>
      </c>
      <c r="G195" s="17" t="s">
        <v>1769</v>
      </c>
    </row>
    <row r="196" spans="1:7" ht="43.5" x14ac:dyDescent="0.25">
      <c r="A196" s="2" t="str">
        <f>"0000310U"</f>
        <v>0000310U</v>
      </c>
      <c r="B196" s="2" t="str">
        <f>"  "</f>
        <v xml:space="preserve">  </v>
      </c>
      <c r="C196" s="1" t="s">
        <v>126</v>
      </c>
      <c r="D196" s="1" t="s">
        <v>0</v>
      </c>
      <c r="E196" s="1" t="s">
        <v>14</v>
      </c>
      <c r="F196" s="2" t="s">
        <v>0</v>
      </c>
      <c r="G196" s="17" t="s">
        <v>1769</v>
      </c>
    </row>
    <row r="197" spans="1:7" ht="43.5" x14ac:dyDescent="0.25">
      <c r="A197" s="2" t="str">
        <f>"0000310U"</f>
        <v>0000310U</v>
      </c>
      <c r="B197" s="2" t="str">
        <f>"90"</f>
        <v>90</v>
      </c>
      <c r="C197" s="1" t="s">
        <v>126</v>
      </c>
      <c r="D197" s="1" t="s">
        <v>0</v>
      </c>
      <c r="E197" s="1" t="s">
        <v>14</v>
      </c>
      <c r="F197" s="2" t="s">
        <v>0</v>
      </c>
      <c r="G197" s="17" t="s">
        <v>1769</v>
      </c>
    </row>
    <row r="198" spans="1:7" ht="43.5" x14ac:dyDescent="0.25">
      <c r="A198" s="2" t="str">
        <f>"0000311U"</f>
        <v>0000311U</v>
      </c>
      <c r="B198" s="2" t="str">
        <f>"  "</f>
        <v xml:space="preserve">  </v>
      </c>
      <c r="C198" s="1" t="s">
        <v>127</v>
      </c>
      <c r="D198" s="1" t="s">
        <v>0</v>
      </c>
      <c r="E198" s="1" t="s">
        <v>14</v>
      </c>
      <c r="F198" s="2" t="s">
        <v>0</v>
      </c>
      <c r="G198" s="17" t="s">
        <v>1769</v>
      </c>
    </row>
    <row r="199" spans="1:7" ht="43.5" x14ac:dyDescent="0.25">
      <c r="A199" s="2" t="str">
        <f>"0000311U"</f>
        <v>0000311U</v>
      </c>
      <c r="B199" s="2" t="str">
        <f>"90"</f>
        <v>90</v>
      </c>
      <c r="C199" s="1" t="s">
        <v>127</v>
      </c>
      <c r="D199" s="1" t="s">
        <v>0</v>
      </c>
      <c r="E199" s="1" t="s">
        <v>14</v>
      </c>
      <c r="F199" s="2" t="s">
        <v>0</v>
      </c>
      <c r="G199" s="17" t="s">
        <v>1769</v>
      </c>
    </row>
    <row r="200" spans="1:7" ht="43.5" x14ac:dyDescent="0.25">
      <c r="A200" s="2" t="str">
        <f>"0000312U"</f>
        <v>0000312U</v>
      </c>
      <c r="B200" s="2" t="str">
        <f>"  "</f>
        <v xml:space="preserve">  </v>
      </c>
      <c r="C200" s="1" t="s">
        <v>128</v>
      </c>
      <c r="D200" s="1" t="s">
        <v>0</v>
      </c>
      <c r="E200" s="1" t="s">
        <v>14</v>
      </c>
      <c r="F200" s="2" t="s">
        <v>0</v>
      </c>
      <c r="G200" s="17" t="s">
        <v>1769</v>
      </c>
    </row>
    <row r="201" spans="1:7" ht="43.5" x14ac:dyDescent="0.25">
      <c r="A201" s="2" t="str">
        <f>"0000312U"</f>
        <v>0000312U</v>
      </c>
      <c r="B201" s="2" t="str">
        <f>"90"</f>
        <v>90</v>
      </c>
      <c r="C201" s="1" t="s">
        <v>128</v>
      </c>
      <c r="D201" s="1" t="s">
        <v>0</v>
      </c>
      <c r="E201" s="1" t="s">
        <v>14</v>
      </c>
      <c r="F201" s="2" t="s">
        <v>0</v>
      </c>
      <c r="G201" s="17" t="s">
        <v>1769</v>
      </c>
    </row>
    <row r="202" spans="1:7" ht="43.5" x14ac:dyDescent="0.25">
      <c r="A202" s="2" t="str">
        <f>"0000313U"</f>
        <v>0000313U</v>
      </c>
      <c r="B202" s="2" t="str">
        <f>"  "</f>
        <v xml:space="preserve">  </v>
      </c>
      <c r="C202" s="1" t="s">
        <v>129</v>
      </c>
      <c r="D202" s="1" t="s">
        <v>0</v>
      </c>
      <c r="E202" s="1" t="s">
        <v>14</v>
      </c>
      <c r="F202" s="2" t="s">
        <v>0</v>
      </c>
      <c r="G202" s="17" t="s">
        <v>1769</v>
      </c>
    </row>
    <row r="203" spans="1:7" ht="43.5" x14ac:dyDescent="0.25">
      <c r="A203" s="2" t="str">
        <f>"0000313U"</f>
        <v>0000313U</v>
      </c>
      <c r="B203" s="2" t="str">
        <f>"90"</f>
        <v>90</v>
      </c>
      <c r="C203" s="1" t="s">
        <v>129</v>
      </c>
      <c r="D203" s="1" t="s">
        <v>0</v>
      </c>
      <c r="E203" s="1" t="s">
        <v>14</v>
      </c>
      <c r="F203" s="2" t="s">
        <v>0</v>
      </c>
      <c r="G203" s="17" t="s">
        <v>1769</v>
      </c>
    </row>
    <row r="204" spans="1:7" ht="57.75" x14ac:dyDescent="0.25">
      <c r="A204" s="2" t="str">
        <f>"0000314U"</f>
        <v>0000314U</v>
      </c>
      <c r="B204" s="2" t="str">
        <f>"  "</f>
        <v xml:space="preserve">  </v>
      </c>
      <c r="C204" s="1" t="s">
        <v>130</v>
      </c>
      <c r="D204" s="1" t="s">
        <v>0</v>
      </c>
      <c r="E204" s="1" t="s">
        <v>14</v>
      </c>
      <c r="F204" s="2" t="s">
        <v>0</v>
      </c>
      <c r="G204" s="17" t="s">
        <v>1769</v>
      </c>
    </row>
    <row r="205" spans="1:7" ht="57.75" x14ac:dyDescent="0.25">
      <c r="A205" s="2" t="str">
        <f>"0000314U"</f>
        <v>0000314U</v>
      </c>
      <c r="B205" s="2" t="str">
        <f>"90"</f>
        <v>90</v>
      </c>
      <c r="C205" s="1" t="s">
        <v>130</v>
      </c>
      <c r="D205" s="1" t="s">
        <v>0</v>
      </c>
      <c r="E205" s="1" t="s">
        <v>14</v>
      </c>
      <c r="F205" s="2" t="s">
        <v>0</v>
      </c>
      <c r="G205" s="17" t="s">
        <v>1769</v>
      </c>
    </row>
    <row r="206" spans="1:7" ht="57.75" x14ac:dyDescent="0.25">
      <c r="A206" s="2" t="str">
        <f>"0000315U"</f>
        <v>0000315U</v>
      </c>
      <c r="B206" s="2" t="str">
        <f>"  "</f>
        <v xml:space="preserve">  </v>
      </c>
      <c r="C206" s="1" t="s">
        <v>131</v>
      </c>
      <c r="D206" s="1" t="s">
        <v>0</v>
      </c>
      <c r="E206" s="1" t="s">
        <v>14</v>
      </c>
      <c r="F206" s="2" t="s">
        <v>0</v>
      </c>
      <c r="G206" s="17" t="s">
        <v>1769</v>
      </c>
    </row>
    <row r="207" spans="1:7" ht="57.75" x14ac:dyDescent="0.25">
      <c r="A207" s="2" t="str">
        <f>"0000315U"</f>
        <v>0000315U</v>
      </c>
      <c r="B207" s="2" t="str">
        <f>"90"</f>
        <v>90</v>
      </c>
      <c r="C207" s="1" t="s">
        <v>131</v>
      </c>
      <c r="D207" s="1" t="s">
        <v>0</v>
      </c>
      <c r="E207" s="1" t="s">
        <v>14</v>
      </c>
      <c r="F207" s="2" t="s">
        <v>0</v>
      </c>
      <c r="G207" s="17" t="s">
        <v>1769</v>
      </c>
    </row>
    <row r="208" spans="1:7" ht="43.5" x14ac:dyDescent="0.25">
      <c r="A208" s="2" t="str">
        <f>"0000316U"</f>
        <v>0000316U</v>
      </c>
      <c r="B208" s="2" t="str">
        <f>"  "</f>
        <v xml:space="preserve">  </v>
      </c>
      <c r="C208" s="1" t="s">
        <v>132</v>
      </c>
      <c r="D208" s="1" t="s">
        <v>0</v>
      </c>
      <c r="E208" s="1" t="s">
        <v>14</v>
      </c>
      <c r="F208" s="2" t="s">
        <v>0</v>
      </c>
      <c r="G208" s="17" t="s">
        <v>1769</v>
      </c>
    </row>
    <row r="209" spans="1:7" ht="43.5" x14ac:dyDescent="0.25">
      <c r="A209" s="2" t="str">
        <f>"0000316U"</f>
        <v>0000316U</v>
      </c>
      <c r="B209" s="2" t="str">
        <f>"90"</f>
        <v>90</v>
      </c>
      <c r="C209" s="1" t="s">
        <v>132</v>
      </c>
      <c r="D209" s="1" t="s">
        <v>0</v>
      </c>
      <c r="E209" s="1" t="s">
        <v>14</v>
      </c>
      <c r="F209" s="2" t="s">
        <v>0</v>
      </c>
      <c r="G209" s="17" t="s">
        <v>1769</v>
      </c>
    </row>
    <row r="210" spans="1:7" ht="43.5" x14ac:dyDescent="0.25">
      <c r="A210" s="2" t="str">
        <f>"0000317U"</f>
        <v>0000317U</v>
      </c>
      <c r="B210" s="2" t="str">
        <f>"  "</f>
        <v xml:space="preserve">  </v>
      </c>
      <c r="C210" s="1" t="s">
        <v>133</v>
      </c>
      <c r="D210" s="1" t="s">
        <v>0</v>
      </c>
      <c r="E210" s="1" t="s">
        <v>14</v>
      </c>
      <c r="F210" s="2" t="s">
        <v>0</v>
      </c>
      <c r="G210" s="17" t="s">
        <v>1769</v>
      </c>
    </row>
    <row r="211" spans="1:7" ht="43.5" x14ac:dyDescent="0.25">
      <c r="A211" s="2" t="str">
        <f>"0000317U"</f>
        <v>0000317U</v>
      </c>
      <c r="B211" s="2" t="str">
        <f>"90"</f>
        <v>90</v>
      </c>
      <c r="C211" s="1" t="s">
        <v>133</v>
      </c>
      <c r="D211" s="1" t="s">
        <v>0</v>
      </c>
      <c r="E211" s="1" t="s">
        <v>14</v>
      </c>
      <c r="F211" s="2" t="s">
        <v>0</v>
      </c>
      <c r="G211" s="17" t="s">
        <v>1769</v>
      </c>
    </row>
    <row r="212" spans="1:7" ht="43.5" x14ac:dyDescent="0.25">
      <c r="A212" s="2" t="str">
        <f>"0000318U"</f>
        <v>0000318U</v>
      </c>
      <c r="B212" s="2" t="str">
        <f>"  "</f>
        <v xml:space="preserve">  </v>
      </c>
      <c r="C212" s="1" t="s">
        <v>134</v>
      </c>
      <c r="D212" s="1" t="s">
        <v>0</v>
      </c>
      <c r="E212" s="1" t="s">
        <v>14</v>
      </c>
      <c r="F212" s="2" t="s">
        <v>0</v>
      </c>
      <c r="G212" s="17" t="s">
        <v>1769</v>
      </c>
    </row>
    <row r="213" spans="1:7" ht="43.5" x14ac:dyDescent="0.25">
      <c r="A213" s="2" t="str">
        <f>"0000318U"</f>
        <v>0000318U</v>
      </c>
      <c r="B213" s="2" t="str">
        <f>"90"</f>
        <v>90</v>
      </c>
      <c r="C213" s="1" t="s">
        <v>134</v>
      </c>
      <c r="D213" s="1" t="s">
        <v>0</v>
      </c>
      <c r="E213" s="1" t="s">
        <v>14</v>
      </c>
      <c r="F213" s="2" t="s">
        <v>0</v>
      </c>
      <c r="G213" s="17" t="s">
        <v>1769</v>
      </c>
    </row>
    <row r="214" spans="1:7" ht="43.5" x14ac:dyDescent="0.25">
      <c r="A214" s="2" t="str">
        <f>"0000319U"</f>
        <v>0000319U</v>
      </c>
      <c r="B214" s="2" t="str">
        <f>"  "</f>
        <v xml:space="preserve">  </v>
      </c>
      <c r="C214" s="1" t="s">
        <v>135</v>
      </c>
      <c r="D214" s="1" t="s">
        <v>0</v>
      </c>
      <c r="E214" s="1" t="s">
        <v>14</v>
      </c>
      <c r="F214" s="2" t="s">
        <v>0</v>
      </c>
      <c r="G214" s="17" t="s">
        <v>1769</v>
      </c>
    </row>
    <row r="215" spans="1:7" ht="43.5" x14ac:dyDescent="0.25">
      <c r="A215" s="2" t="str">
        <f>"0000319U"</f>
        <v>0000319U</v>
      </c>
      <c r="B215" s="2" t="str">
        <f>"90"</f>
        <v>90</v>
      </c>
      <c r="C215" s="1" t="s">
        <v>135</v>
      </c>
      <c r="D215" s="1" t="s">
        <v>0</v>
      </c>
      <c r="E215" s="1" t="s">
        <v>14</v>
      </c>
      <c r="F215" s="2" t="s">
        <v>0</v>
      </c>
      <c r="G215" s="17" t="s">
        <v>1769</v>
      </c>
    </row>
    <row r="216" spans="1:7" ht="43.5" x14ac:dyDescent="0.25">
      <c r="A216" s="2" t="str">
        <f>"0000320U"</f>
        <v>0000320U</v>
      </c>
      <c r="B216" s="2" t="str">
        <f>"  "</f>
        <v xml:space="preserve">  </v>
      </c>
      <c r="C216" s="1" t="s">
        <v>135</v>
      </c>
      <c r="D216" s="1" t="s">
        <v>0</v>
      </c>
      <c r="E216" s="1" t="s">
        <v>14</v>
      </c>
      <c r="F216" s="2" t="s">
        <v>0</v>
      </c>
      <c r="G216" s="17" t="s">
        <v>1769</v>
      </c>
    </row>
    <row r="217" spans="1:7" ht="43.5" x14ac:dyDescent="0.25">
      <c r="A217" s="2" t="str">
        <f>"0000320U"</f>
        <v>0000320U</v>
      </c>
      <c r="B217" s="2" t="str">
        <f>"90"</f>
        <v>90</v>
      </c>
      <c r="C217" s="1" t="s">
        <v>135</v>
      </c>
      <c r="D217" s="1" t="s">
        <v>0</v>
      </c>
      <c r="E217" s="1" t="s">
        <v>14</v>
      </c>
      <c r="F217" s="2" t="s">
        <v>0</v>
      </c>
      <c r="G217" s="17" t="s">
        <v>1769</v>
      </c>
    </row>
    <row r="218" spans="1:7" ht="43.5" x14ac:dyDescent="0.25">
      <c r="A218" s="2" t="str">
        <f>"0000321U"</f>
        <v>0000321U</v>
      </c>
      <c r="B218" s="2" t="str">
        <f>"  "</f>
        <v xml:space="preserve">  </v>
      </c>
      <c r="C218" s="1" t="s">
        <v>136</v>
      </c>
      <c r="D218" s="1" t="s">
        <v>0</v>
      </c>
      <c r="E218" s="1" t="s">
        <v>14</v>
      </c>
      <c r="F218" s="2" t="s">
        <v>0</v>
      </c>
      <c r="G218" s="17" t="s">
        <v>1769</v>
      </c>
    </row>
    <row r="219" spans="1:7" ht="43.5" x14ac:dyDescent="0.25">
      <c r="A219" s="2" t="str">
        <f>"0000321U"</f>
        <v>0000321U</v>
      </c>
      <c r="B219" s="2" t="str">
        <f>"90"</f>
        <v>90</v>
      </c>
      <c r="C219" s="1" t="s">
        <v>136</v>
      </c>
      <c r="D219" s="1" t="s">
        <v>0</v>
      </c>
      <c r="E219" s="1" t="s">
        <v>14</v>
      </c>
      <c r="F219" s="2" t="s">
        <v>0</v>
      </c>
      <c r="G219" s="17" t="s">
        <v>1769</v>
      </c>
    </row>
    <row r="220" spans="1:7" ht="43.5" x14ac:dyDescent="0.25">
      <c r="A220" s="2" t="str">
        <f>"0000322U"</f>
        <v>0000322U</v>
      </c>
      <c r="B220" s="2" t="str">
        <f>"  "</f>
        <v xml:space="preserve">  </v>
      </c>
      <c r="C220" s="1" t="s">
        <v>137</v>
      </c>
      <c r="D220" s="1" t="s">
        <v>0</v>
      </c>
      <c r="E220" s="1" t="s">
        <v>14</v>
      </c>
      <c r="F220" s="2" t="s">
        <v>0</v>
      </c>
      <c r="G220" s="17" t="s">
        <v>1769</v>
      </c>
    </row>
    <row r="221" spans="1:7" ht="43.5" x14ac:dyDescent="0.25">
      <c r="A221" s="2" t="str">
        <f>"0000322U"</f>
        <v>0000322U</v>
      </c>
      <c r="B221" s="2" t="str">
        <f>"90"</f>
        <v>90</v>
      </c>
      <c r="C221" s="1" t="s">
        <v>137</v>
      </c>
      <c r="D221" s="1" t="s">
        <v>0</v>
      </c>
      <c r="E221" s="1" t="s">
        <v>14</v>
      </c>
      <c r="F221" s="2" t="s">
        <v>0</v>
      </c>
      <c r="G221" s="17" t="s">
        <v>1769</v>
      </c>
    </row>
    <row r="222" spans="1:7" ht="43.5" x14ac:dyDescent="0.25">
      <c r="A222" s="2" t="str">
        <f>"0000323U"</f>
        <v>0000323U</v>
      </c>
      <c r="B222" s="2" t="str">
        <f>"  "</f>
        <v xml:space="preserve">  </v>
      </c>
      <c r="C222" s="1" t="s">
        <v>138</v>
      </c>
      <c r="D222" s="1" t="s">
        <v>0</v>
      </c>
      <c r="E222" s="1" t="s">
        <v>14</v>
      </c>
      <c r="F222" s="2" t="s">
        <v>0</v>
      </c>
      <c r="G222" s="17" t="s">
        <v>1769</v>
      </c>
    </row>
    <row r="223" spans="1:7" ht="43.5" x14ac:dyDescent="0.25">
      <c r="A223" s="2" t="str">
        <f>"0000323U"</f>
        <v>0000323U</v>
      </c>
      <c r="B223" s="2" t="str">
        <f>"90"</f>
        <v>90</v>
      </c>
      <c r="C223" s="1" t="s">
        <v>138</v>
      </c>
      <c r="D223" s="1" t="s">
        <v>0</v>
      </c>
      <c r="E223" s="1" t="s">
        <v>14</v>
      </c>
      <c r="F223" s="2" t="s">
        <v>0</v>
      </c>
      <c r="G223" s="17" t="s">
        <v>1769</v>
      </c>
    </row>
    <row r="224" spans="1:7" ht="43.5" x14ac:dyDescent="0.25">
      <c r="A224" s="2" t="str">
        <f>"0000324U"</f>
        <v>0000324U</v>
      </c>
      <c r="B224" s="2" t="str">
        <f>"  "</f>
        <v xml:space="preserve">  </v>
      </c>
      <c r="C224" s="1" t="s">
        <v>139</v>
      </c>
      <c r="D224" s="1" t="s">
        <v>0</v>
      </c>
      <c r="E224" s="1" t="s">
        <v>10</v>
      </c>
      <c r="F224" s="2" t="s">
        <v>0</v>
      </c>
      <c r="G224" s="18" t="s">
        <v>10</v>
      </c>
    </row>
    <row r="225" spans="1:7" ht="43.5" x14ac:dyDescent="0.25">
      <c r="A225" s="2" t="str">
        <f>"0000324U"</f>
        <v>0000324U</v>
      </c>
      <c r="B225" s="2" t="str">
        <f>"90"</f>
        <v>90</v>
      </c>
      <c r="C225" s="1" t="s">
        <v>139</v>
      </c>
      <c r="D225" s="1" t="s">
        <v>0</v>
      </c>
      <c r="E225" s="1" t="s">
        <v>10</v>
      </c>
      <c r="F225" s="2" t="s">
        <v>0</v>
      </c>
      <c r="G225" s="18" t="s">
        <v>10</v>
      </c>
    </row>
    <row r="226" spans="1:7" ht="43.5" x14ac:dyDescent="0.25">
      <c r="A226" s="2" t="str">
        <f>"0000325U"</f>
        <v>0000325U</v>
      </c>
      <c r="B226" s="2" t="str">
        <f>"  "</f>
        <v xml:space="preserve">  </v>
      </c>
      <c r="C226" s="1" t="s">
        <v>140</v>
      </c>
      <c r="D226" s="1" t="s">
        <v>0</v>
      </c>
      <c r="E226" s="1" t="s">
        <v>10</v>
      </c>
      <c r="F226" s="2" t="s">
        <v>0</v>
      </c>
      <c r="G226" s="18" t="s">
        <v>10</v>
      </c>
    </row>
    <row r="227" spans="1:7" ht="43.5" x14ac:dyDescent="0.25">
      <c r="A227" s="2" t="str">
        <f>"0000325U"</f>
        <v>0000325U</v>
      </c>
      <c r="B227" s="2" t="str">
        <f>"90"</f>
        <v>90</v>
      </c>
      <c r="C227" s="1" t="s">
        <v>140</v>
      </c>
      <c r="D227" s="1" t="s">
        <v>0</v>
      </c>
      <c r="E227" s="1" t="s">
        <v>10</v>
      </c>
      <c r="F227" s="2" t="s">
        <v>0</v>
      </c>
      <c r="G227" s="18" t="s">
        <v>10</v>
      </c>
    </row>
    <row r="228" spans="1:7" ht="43.5" x14ac:dyDescent="0.25">
      <c r="A228" s="2" t="str">
        <f>"0000326U"</f>
        <v>0000326U</v>
      </c>
      <c r="B228" s="2" t="str">
        <f>"  "</f>
        <v xml:space="preserve">  </v>
      </c>
      <c r="C228" s="1" t="s">
        <v>141</v>
      </c>
      <c r="D228" s="1" t="s">
        <v>0</v>
      </c>
      <c r="E228" s="1" t="s">
        <v>14</v>
      </c>
      <c r="F228" s="2" t="s">
        <v>0</v>
      </c>
      <c r="G228" s="17" t="s">
        <v>1769</v>
      </c>
    </row>
    <row r="229" spans="1:7" ht="43.5" x14ac:dyDescent="0.25">
      <c r="A229" s="2" t="str">
        <f>"0000326U"</f>
        <v>0000326U</v>
      </c>
      <c r="B229" s="2" t="str">
        <f>"90"</f>
        <v>90</v>
      </c>
      <c r="C229" s="1" t="s">
        <v>141</v>
      </c>
      <c r="D229" s="1" t="s">
        <v>0</v>
      </c>
      <c r="E229" s="1" t="s">
        <v>14</v>
      </c>
      <c r="F229" s="2" t="s">
        <v>0</v>
      </c>
      <c r="G229" s="17" t="s">
        <v>1769</v>
      </c>
    </row>
    <row r="230" spans="1:7" ht="43.5" x14ac:dyDescent="0.25">
      <c r="A230" s="2" t="str">
        <f>"0000327U"</f>
        <v>0000327U</v>
      </c>
      <c r="B230" s="2" t="str">
        <f>"  "</f>
        <v xml:space="preserve">  </v>
      </c>
      <c r="C230" s="1" t="s">
        <v>142</v>
      </c>
      <c r="D230" s="1" t="s">
        <v>0</v>
      </c>
      <c r="E230" s="1" t="s">
        <v>14</v>
      </c>
      <c r="F230" s="2" t="s">
        <v>0</v>
      </c>
      <c r="G230" s="17" t="s">
        <v>1769</v>
      </c>
    </row>
    <row r="231" spans="1:7" ht="43.5" x14ac:dyDescent="0.25">
      <c r="A231" s="2" t="str">
        <f>"0000327U"</f>
        <v>0000327U</v>
      </c>
      <c r="B231" s="2" t="str">
        <f>"90"</f>
        <v>90</v>
      </c>
      <c r="C231" s="1" t="s">
        <v>142</v>
      </c>
      <c r="D231" s="1" t="s">
        <v>0</v>
      </c>
      <c r="E231" s="1" t="s">
        <v>14</v>
      </c>
      <c r="F231" s="2" t="s">
        <v>0</v>
      </c>
      <c r="G231" s="17" t="s">
        <v>1769</v>
      </c>
    </row>
    <row r="232" spans="1:7" ht="43.5" x14ac:dyDescent="0.25">
      <c r="A232" s="2" t="str">
        <f>"0000328U"</f>
        <v>0000328U</v>
      </c>
      <c r="B232" s="2" t="str">
        <f>"  "</f>
        <v xml:space="preserve">  </v>
      </c>
      <c r="C232" s="1" t="s">
        <v>143</v>
      </c>
      <c r="D232" s="1" t="s">
        <v>0</v>
      </c>
      <c r="E232" s="1" t="s">
        <v>14</v>
      </c>
      <c r="F232" s="2" t="s">
        <v>0</v>
      </c>
      <c r="G232" s="17" t="s">
        <v>1769</v>
      </c>
    </row>
    <row r="233" spans="1:7" ht="43.5" x14ac:dyDescent="0.25">
      <c r="A233" s="2" t="str">
        <f>"0000328U"</f>
        <v>0000328U</v>
      </c>
      <c r="B233" s="2" t="str">
        <f>"90"</f>
        <v>90</v>
      </c>
      <c r="C233" s="1" t="s">
        <v>143</v>
      </c>
      <c r="D233" s="1" t="s">
        <v>0</v>
      </c>
      <c r="E233" s="1" t="s">
        <v>14</v>
      </c>
      <c r="F233" s="2" t="s">
        <v>0</v>
      </c>
      <c r="G233" s="17" t="s">
        <v>1769</v>
      </c>
    </row>
    <row r="234" spans="1:7" ht="43.5" x14ac:dyDescent="0.25">
      <c r="A234" s="2" t="str">
        <f>"0000329U"</f>
        <v>0000329U</v>
      </c>
      <c r="B234" s="2" t="str">
        <f>"  "</f>
        <v xml:space="preserve">  </v>
      </c>
      <c r="C234" s="1" t="s">
        <v>144</v>
      </c>
      <c r="D234" s="1" t="s">
        <v>0</v>
      </c>
      <c r="E234" s="1" t="s">
        <v>14</v>
      </c>
      <c r="F234" s="2" t="s">
        <v>0</v>
      </c>
      <c r="G234" s="17" t="s">
        <v>1769</v>
      </c>
    </row>
    <row r="235" spans="1:7" ht="43.5" x14ac:dyDescent="0.25">
      <c r="A235" s="2" t="str">
        <f>"0000329U"</f>
        <v>0000329U</v>
      </c>
      <c r="B235" s="2" t="str">
        <f>"90"</f>
        <v>90</v>
      </c>
      <c r="C235" s="1" t="s">
        <v>144</v>
      </c>
      <c r="D235" s="1" t="s">
        <v>0</v>
      </c>
      <c r="E235" s="1" t="s">
        <v>14</v>
      </c>
      <c r="F235" s="2" t="s">
        <v>0</v>
      </c>
      <c r="G235" s="17" t="s">
        <v>1769</v>
      </c>
    </row>
    <row r="236" spans="1:7" ht="43.5" x14ac:dyDescent="0.25">
      <c r="A236" s="2" t="str">
        <f>"0000330U"</f>
        <v>0000330U</v>
      </c>
      <c r="B236" s="2" t="str">
        <f>"  "</f>
        <v xml:space="preserve">  </v>
      </c>
      <c r="C236" s="1" t="s">
        <v>145</v>
      </c>
      <c r="D236" s="1" t="s">
        <v>0</v>
      </c>
      <c r="E236" s="1" t="s">
        <v>14</v>
      </c>
      <c r="F236" s="2" t="s">
        <v>0</v>
      </c>
      <c r="G236" s="17" t="s">
        <v>1769</v>
      </c>
    </row>
    <row r="237" spans="1:7" ht="43.5" x14ac:dyDescent="0.25">
      <c r="A237" s="2" t="str">
        <f>"0000330U"</f>
        <v>0000330U</v>
      </c>
      <c r="B237" s="2" t="str">
        <f>"90"</f>
        <v>90</v>
      </c>
      <c r="C237" s="1" t="s">
        <v>145</v>
      </c>
      <c r="D237" s="1" t="s">
        <v>0</v>
      </c>
      <c r="E237" s="1" t="s">
        <v>14</v>
      </c>
      <c r="F237" s="2" t="s">
        <v>0</v>
      </c>
      <c r="G237" s="17" t="s">
        <v>1769</v>
      </c>
    </row>
    <row r="238" spans="1:7" ht="43.5" x14ac:dyDescent="0.25">
      <c r="A238" s="2" t="str">
        <f>"0000331U"</f>
        <v>0000331U</v>
      </c>
      <c r="B238" s="2" t="str">
        <f>"  "</f>
        <v xml:space="preserve">  </v>
      </c>
      <c r="C238" s="1" t="s">
        <v>146</v>
      </c>
      <c r="D238" s="1" t="s">
        <v>0</v>
      </c>
      <c r="E238" s="1" t="s">
        <v>14</v>
      </c>
      <c r="F238" s="2" t="s">
        <v>0</v>
      </c>
      <c r="G238" s="17" t="s">
        <v>1769</v>
      </c>
    </row>
    <row r="239" spans="1:7" ht="43.5" x14ac:dyDescent="0.25">
      <c r="A239" s="2" t="str">
        <f>"0000331U"</f>
        <v>0000331U</v>
      </c>
      <c r="B239" s="2" t="str">
        <f>"90"</f>
        <v>90</v>
      </c>
      <c r="C239" s="1" t="s">
        <v>146</v>
      </c>
      <c r="D239" s="1" t="s">
        <v>0</v>
      </c>
      <c r="E239" s="1" t="s">
        <v>14</v>
      </c>
      <c r="F239" s="2" t="s">
        <v>0</v>
      </c>
      <c r="G239" s="17" t="s">
        <v>1769</v>
      </c>
    </row>
    <row r="240" spans="1:7" ht="43.5" x14ac:dyDescent="0.25">
      <c r="A240" s="2" t="str">
        <f>"0000332U"</f>
        <v>0000332U</v>
      </c>
      <c r="B240" s="2" t="str">
        <f>"  "</f>
        <v xml:space="preserve">  </v>
      </c>
      <c r="C240" s="1" t="s">
        <v>147</v>
      </c>
      <c r="D240" s="1" t="s">
        <v>0</v>
      </c>
      <c r="E240" s="1" t="s">
        <v>14</v>
      </c>
      <c r="F240" s="2" t="s">
        <v>0</v>
      </c>
      <c r="G240" s="17" t="s">
        <v>1769</v>
      </c>
    </row>
    <row r="241" spans="1:7" ht="43.5" x14ac:dyDescent="0.25">
      <c r="A241" s="2" t="str">
        <f>"0000332U"</f>
        <v>0000332U</v>
      </c>
      <c r="B241" s="2" t="str">
        <f>"90"</f>
        <v>90</v>
      </c>
      <c r="C241" s="1" t="s">
        <v>147</v>
      </c>
      <c r="D241" s="1" t="s">
        <v>0</v>
      </c>
      <c r="E241" s="1" t="s">
        <v>14</v>
      </c>
      <c r="F241" s="2" t="s">
        <v>0</v>
      </c>
      <c r="G241" s="17" t="s">
        <v>1769</v>
      </c>
    </row>
    <row r="242" spans="1:7" ht="43.5" x14ac:dyDescent="0.25">
      <c r="A242" s="2" t="str">
        <f>"0000333U"</f>
        <v>0000333U</v>
      </c>
      <c r="B242" s="2" t="str">
        <f>"  "</f>
        <v xml:space="preserve">  </v>
      </c>
      <c r="C242" s="1" t="s">
        <v>148</v>
      </c>
      <c r="D242" s="1" t="s">
        <v>0</v>
      </c>
      <c r="E242" s="1" t="s">
        <v>14</v>
      </c>
      <c r="F242" s="2" t="s">
        <v>0</v>
      </c>
      <c r="G242" s="17" t="s">
        <v>1769</v>
      </c>
    </row>
    <row r="243" spans="1:7" ht="43.5" x14ac:dyDescent="0.25">
      <c r="A243" s="2" t="str">
        <f>"0000333U"</f>
        <v>0000333U</v>
      </c>
      <c r="B243" s="2" t="str">
        <f>"90"</f>
        <v>90</v>
      </c>
      <c r="C243" s="1" t="s">
        <v>148</v>
      </c>
      <c r="D243" s="1" t="s">
        <v>0</v>
      </c>
      <c r="E243" s="1" t="s">
        <v>14</v>
      </c>
      <c r="F243" s="2" t="s">
        <v>0</v>
      </c>
      <c r="G243" s="17" t="s">
        <v>1769</v>
      </c>
    </row>
    <row r="244" spans="1:7" ht="43.5" x14ac:dyDescent="0.25">
      <c r="A244" s="2" t="str">
        <f>"0000334U"</f>
        <v>0000334U</v>
      </c>
      <c r="B244" s="2" t="str">
        <f>"  "</f>
        <v xml:space="preserve">  </v>
      </c>
      <c r="C244" s="1" t="s">
        <v>149</v>
      </c>
      <c r="D244" s="1" t="s">
        <v>0</v>
      </c>
      <c r="E244" s="1" t="s">
        <v>14</v>
      </c>
      <c r="F244" s="2" t="s">
        <v>0</v>
      </c>
      <c r="G244" s="17" t="s">
        <v>1769</v>
      </c>
    </row>
    <row r="245" spans="1:7" ht="43.5" x14ac:dyDescent="0.25">
      <c r="A245" s="2" t="str">
        <f>"0000334U"</f>
        <v>0000334U</v>
      </c>
      <c r="B245" s="2" t="str">
        <f>"90"</f>
        <v>90</v>
      </c>
      <c r="C245" s="1" t="s">
        <v>149</v>
      </c>
      <c r="D245" s="1" t="s">
        <v>0</v>
      </c>
      <c r="E245" s="1" t="s">
        <v>14</v>
      </c>
      <c r="F245" s="2" t="s">
        <v>0</v>
      </c>
      <c r="G245" s="17" t="s">
        <v>1769</v>
      </c>
    </row>
    <row r="246" spans="1:7" ht="57.75" x14ac:dyDescent="0.25">
      <c r="A246" s="2" t="str">
        <f>"0000335U"</f>
        <v>0000335U</v>
      </c>
      <c r="B246" s="2" t="str">
        <f>"  "</f>
        <v xml:space="preserve">  </v>
      </c>
      <c r="C246" s="1" t="s">
        <v>150</v>
      </c>
      <c r="D246" s="1" t="s">
        <v>0</v>
      </c>
      <c r="E246" s="1" t="s">
        <v>14</v>
      </c>
      <c r="F246" s="2" t="s">
        <v>0</v>
      </c>
      <c r="G246" s="17" t="s">
        <v>1769</v>
      </c>
    </row>
    <row r="247" spans="1:7" ht="57.75" x14ac:dyDescent="0.25">
      <c r="A247" s="2" t="str">
        <f>"0000335U"</f>
        <v>0000335U</v>
      </c>
      <c r="B247" s="2" t="str">
        <f>"90"</f>
        <v>90</v>
      </c>
      <c r="C247" s="1" t="s">
        <v>150</v>
      </c>
      <c r="D247" s="1" t="s">
        <v>0</v>
      </c>
      <c r="E247" s="1" t="s">
        <v>14</v>
      </c>
      <c r="F247" s="2" t="s">
        <v>0</v>
      </c>
      <c r="G247" s="17" t="s">
        <v>1769</v>
      </c>
    </row>
    <row r="248" spans="1:7" ht="57.75" x14ac:dyDescent="0.25">
      <c r="A248" s="2" t="str">
        <f>"0000336U"</f>
        <v>0000336U</v>
      </c>
      <c r="B248" s="2" t="str">
        <f>"  "</f>
        <v xml:space="preserve">  </v>
      </c>
      <c r="C248" s="1" t="s">
        <v>150</v>
      </c>
      <c r="D248" s="1" t="s">
        <v>0</v>
      </c>
      <c r="E248" s="1" t="s">
        <v>14</v>
      </c>
      <c r="F248" s="2" t="s">
        <v>0</v>
      </c>
      <c r="G248" s="17" t="s">
        <v>1769</v>
      </c>
    </row>
    <row r="249" spans="1:7" ht="57.75" x14ac:dyDescent="0.25">
      <c r="A249" s="2" t="str">
        <f>"0000336U"</f>
        <v>0000336U</v>
      </c>
      <c r="B249" s="2" t="str">
        <f>"90"</f>
        <v>90</v>
      </c>
      <c r="C249" s="1" t="s">
        <v>150</v>
      </c>
      <c r="D249" s="1" t="s">
        <v>0</v>
      </c>
      <c r="E249" s="1" t="s">
        <v>14</v>
      </c>
      <c r="F249" s="2" t="s">
        <v>0</v>
      </c>
      <c r="G249" s="17" t="s">
        <v>1769</v>
      </c>
    </row>
    <row r="250" spans="1:7" ht="57.75" x14ac:dyDescent="0.25">
      <c r="A250" s="2" t="str">
        <f>"0000337U"</f>
        <v>0000337U</v>
      </c>
      <c r="B250" s="2" t="str">
        <f>"  "</f>
        <v xml:space="preserve">  </v>
      </c>
      <c r="C250" s="1" t="s">
        <v>151</v>
      </c>
      <c r="D250" s="1" t="s">
        <v>0</v>
      </c>
      <c r="E250" s="1" t="s">
        <v>14</v>
      </c>
      <c r="F250" s="2" t="s">
        <v>0</v>
      </c>
      <c r="G250" s="17" t="s">
        <v>1769</v>
      </c>
    </row>
    <row r="251" spans="1:7" ht="57.75" x14ac:dyDescent="0.25">
      <c r="A251" s="2" t="str">
        <f>"0000337U"</f>
        <v>0000337U</v>
      </c>
      <c r="B251" s="2" t="str">
        <f>"90"</f>
        <v>90</v>
      </c>
      <c r="C251" s="1" t="s">
        <v>151</v>
      </c>
      <c r="D251" s="1" t="s">
        <v>0</v>
      </c>
      <c r="E251" s="1" t="s">
        <v>14</v>
      </c>
      <c r="F251" s="2" t="s">
        <v>0</v>
      </c>
      <c r="G251" s="17" t="s">
        <v>1769</v>
      </c>
    </row>
    <row r="252" spans="1:7" ht="43.5" x14ac:dyDescent="0.25">
      <c r="A252" s="2" t="str">
        <f>"0000338U"</f>
        <v>0000338U</v>
      </c>
      <c r="B252" s="2" t="str">
        <f>"  "</f>
        <v xml:space="preserve">  </v>
      </c>
      <c r="C252" s="1" t="s">
        <v>152</v>
      </c>
      <c r="D252" s="1" t="s">
        <v>0</v>
      </c>
      <c r="E252" s="1" t="s">
        <v>14</v>
      </c>
      <c r="F252" s="2" t="s">
        <v>0</v>
      </c>
      <c r="G252" s="17" t="s">
        <v>1769</v>
      </c>
    </row>
    <row r="253" spans="1:7" ht="43.5" x14ac:dyDescent="0.25">
      <c r="A253" s="2" t="str">
        <f>"0000338U"</f>
        <v>0000338U</v>
      </c>
      <c r="B253" s="2" t="str">
        <f>"90"</f>
        <v>90</v>
      </c>
      <c r="C253" s="1" t="s">
        <v>152</v>
      </c>
      <c r="D253" s="1" t="s">
        <v>0</v>
      </c>
      <c r="E253" s="1" t="s">
        <v>14</v>
      </c>
      <c r="F253" s="2" t="s">
        <v>0</v>
      </c>
      <c r="G253" s="17" t="s">
        <v>1769</v>
      </c>
    </row>
    <row r="254" spans="1:7" ht="43.5" x14ac:dyDescent="0.25">
      <c r="A254" s="2" t="str">
        <f>"0000339U"</f>
        <v>0000339U</v>
      </c>
      <c r="B254" s="2" t="str">
        <f>"  "</f>
        <v xml:space="preserve">  </v>
      </c>
      <c r="C254" s="1" t="s">
        <v>153</v>
      </c>
      <c r="D254" s="1" t="s">
        <v>0</v>
      </c>
      <c r="E254" s="1" t="s">
        <v>14</v>
      </c>
      <c r="F254" s="2" t="s">
        <v>0</v>
      </c>
      <c r="G254" s="17" t="s">
        <v>1769</v>
      </c>
    </row>
    <row r="255" spans="1:7" ht="43.5" x14ac:dyDescent="0.25">
      <c r="A255" s="2" t="str">
        <f>"0000339U"</f>
        <v>0000339U</v>
      </c>
      <c r="B255" s="2" t="str">
        <f>"90"</f>
        <v>90</v>
      </c>
      <c r="C255" s="1" t="s">
        <v>153</v>
      </c>
      <c r="D255" s="1" t="s">
        <v>0</v>
      </c>
      <c r="E255" s="1" t="s">
        <v>14</v>
      </c>
      <c r="F255" s="2" t="s">
        <v>0</v>
      </c>
      <c r="G255" s="17" t="s">
        <v>1769</v>
      </c>
    </row>
    <row r="256" spans="1:7" ht="43.5" x14ac:dyDescent="0.25">
      <c r="A256" s="2" t="str">
        <f>"0000340U"</f>
        <v>0000340U</v>
      </c>
      <c r="B256" s="2" t="str">
        <f>"  "</f>
        <v xml:space="preserve">  </v>
      </c>
      <c r="C256" s="1" t="s">
        <v>154</v>
      </c>
      <c r="D256" s="1" t="s">
        <v>0</v>
      </c>
      <c r="E256" s="1" t="s">
        <v>14</v>
      </c>
      <c r="F256" s="2" t="s">
        <v>0</v>
      </c>
      <c r="G256" s="17" t="s">
        <v>1769</v>
      </c>
    </row>
    <row r="257" spans="1:7" ht="43.5" x14ac:dyDescent="0.25">
      <c r="A257" s="2" t="str">
        <f>"0000340U"</f>
        <v>0000340U</v>
      </c>
      <c r="B257" s="2" t="str">
        <f>"90"</f>
        <v>90</v>
      </c>
      <c r="C257" s="1" t="s">
        <v>154</v>
      </c>
      <c r="D257" s="1" t="s">
        <v>0</v>
      </c>
      <c r="E257" s="1" t="s">
        <v>14</v>
      </c>
      <c r="F257" s="2" t="s">
        <v>0</v>
      </c>
      <c r="G257" s="17" t="s">
        <v>1769</v>
      </c>
    </row>
    <row r="258" spans="1:7" ht="57.75" x14ac:dyDescent="0.25">
      <c r="A258" s="2" t="str">
        <f>"0000341U"</f>
        <v>0000341U</v>
      </c>
      <c r="B258" s="2" t="str">
        <f>"  "</f>
        <v xml:space="preserve">  </v>
      </c>
      <c r="C258" s="1" t="s">
        <v>155</v>
      </c>
      <c r="D258" s="1" t="s">
        <v>0</v>
      </c>
      <c r="E258" s="1" t="s">
        <v>14</v>
      </c>
      <c r="F258" s="2" t="s">
        <v>0</v>
      </c>
      <c r="G258" s="17" t="s">
        <v>1769</v>
      </c>
    </row>
    <row r="259" spans="1:7" ht="57.75" x14ac:dyDescent="0.25">
      <c r="A259" s="2" t="str">
        <f>"0000341U"</f>
        <v>0000341U</v>
      </c>
      <c r="B259" s="2" t="str">
        <f>"90"</f>
        <v>90</v>
      </c>
      <c r="C259" s="1" t="s">
        <v>155</v>
      </c>
      <c r="D259" s="1" t="s">
        <v>0</v>
      </c>
      <c r="E259" s="1" t="s">
        <v>14</v>
      </c>
      <c r="F259" s="2" t="s">
        <v>0</v>
      </c>
      <c r="G259" s="17" t="s">
        <v>1769</v>
      </c>
    </row>
    <row r="260" spans="1:7" ht="43.5" x14ac:dyDescent="0.25">
      <c r="A260" s="2" t="str">
        <f>"0000342U"</f>
        <v>0000342U</v>
      </c>
      <c r="B260" s="2" t="str">
        <f>"  "</f>
        <v xml:space="preserve">  </v>
      </c>
      <c r="C260" s="1" t="s">
        <v>156</v>
      </c>
      <c r="D260" s="1" t="s">
        <v>0</v>
      </c>
      <c r="E260" s="1" t="s">
        <v>14</v>
      </c>
      <c r="F260" s="2" t="s">
        <v>0</v>
      </c>
      <c r="G260" s="17" t="s">
        <v>1769</v>
      </c>
    </row>
    <row r="261" spans="1:7" ht="43.5" x14ac:dyDescent="0.25">
      <c r="A261" s="2" t="str">
        <f>"0000342U"</f>
        <v>0000342U</v>
      </c>
      <c r="B261" s="2" t="str">
        <f>"90"</f>
        <v>90</v>
      </c>
      <c r="C261" s="1" t="s">
        <v>156</v>
      </c>
      <c r="D261" s="1" t="s">
        <v>0</v>
      </c>
      <c r="E261" s="1" t="s">
        <v>14</v>
      </c>
      <c r="F261" s="2" t="s">
        <v>0</v>
      </c>
      <c r="G261" s="17" t="s">
        <v>1769</v>
      </c>
    </row>
    <row r="262" spans="1:7" ht="43.5" x14ac:dyDescent="0.25">
      <c r="A262" s="2" t="str">
        <f>"0000343U"</f>
        <v>0000343U</v>
      </c>
      <c r="B262" s="2" t="str">
        <f>"  "</f>
        <v xml:space="preserve">  </v>
      </c>
      <c r="C262" s="1" t="s">
        <v>157</v>
      </c>
      <c r="D262" s="1" t="s">
        <v>0</v>
      </c>
      <c r="E262" s="1" t="s">
        <v>14</v>
      </c>
      <c r="F262" s="2" t="s">
        <v>0</v>
      </c>
      <c r="G262" s="17" t="s">
        <v>1769</v>
      </c>
    </row>
    <row r="263" spans="1:7" ht="43.5" x14ac:dyDescent="0.25">
      <c r="A263" s="2" t="str">
        <f>"0000343U"</f>
        <v>0000343U</v>
      </c>
      <c r="B263" s="2" t="str">
        <f>"90"</f>
        <v>90</v>
      </c>
      <c r="C263" s="1" t="s">
        <v>157</v>
      </c>
      <c r="D263" s="1" t="s">
        <v>0</v>
      </c>
      <c r="E263" s="1" t="s">
        <v>14</v>
      </c>
      <c r="F263" s="2" t="s">
        <v>0</v>
      </c>
      <c r="G263" s="17" t="s">
        <v>1769</v>
      </c>
    </row>
    <row r="264" spans="1:7" ht="43.5" x14ac:dyDescent="0.25">
      <c r="A264" s="2" t="str">
        <f>"0000344U"</f>
        <v>0000344U</v>
      </c>
      <c r="B264" s="2" t="str">
        <f>"  "</f>
        <v xml:space="preserve">  </v>
      </c>
      <c r="C264" s="1" t="s">
        <v>158</v>
      </c>
      <c r="D264" s="1" t="s">
        <v>0</v>
      </c>
      <c r="E264" s="1" t="s">
        <v>14</v>
      </c>
      <c r="F264" s="2" t="s">
        <v>0</v>
      </c>
      <c r="G264" s="17" t="s">
        <v>1769</v>
      </c>
    </row>
    <row r="265" spans="1:7" ht="43.5" x14ac:dyDescent="0.25">
      <c r="A265" s="2" t="str">
        <f>"0000344U"</f>
        <v>0000344U</v>
      </c>
      <c r="B265" s="2" t="str">
        <f>"90"</f>
        <v>90</v>
      </c>
      <c r="C265" s="1" t="s">
        <v>158</v>
      </c>
      <c r="D265" s="1" t="s">
        <v>0</v>
      </c>
      <c r="E265" s="1" t="s">
        <v>14</v>
      </c>
      <c r="F265" s="2" t="s">
        <v>0</v>
      </c>
      <c r="G265" s="17" t="s">
        <v>1769</v>
      </c>
    </row>
    <row r="266" spans="1:7" ht="43.5" x14ac:dyDescent="0.25">
      <c r="A266" s="2" t="str">
        <f>"0000345U"</f>
        <v>0000345U</v>
      </c>
      <c r="B266" s="2" t="str">
        <f>"  "</f>
        <v xml:space="preserve">  </v>
      </c>
      <c r="C266" s="1" t="s">
        <v>159</v>
      </c>
      <c r="D266" s="1" t="s">
        <v>0</v>
      </c>
      <c r="E266" s="1" t="s">
        <v>14</v>
      </c>
      <c r="F266" s="2" t="s">
        <v>0</v>
      </c>
      <c r="G266" s="17" t="s">
        <v>1769</v>
      </c>
    </row>
    <row r="267" spans="1:7" ht="43.5" x14ac:dyDescent="0.25">
      <c r="A267" s="2" t="str">
        <f>"0000345U"</f>
        <v>0000345U</v>
      </c>
      <c r="B267" s="2" t="str">
        <f>"90"</f>
        <v>90</v>
      </c>
      <c r="C267" s="1" t="s">
        <v>159</v>
      </c>
      <c r="D267" s="1" t="s">
        <v>0</v>
      </c>
      <c r="E267" s="1" t="s">
        <v>14</v>
      </c>
      <c r="F267" s="2" t="s">
        <v>0</v>
      </c>
      <c r="G267" s="17" t="s">
        <v>1769</v>
      </c>
    </row>
    <row r="268" spans="1:7" ht="43.5" x14ac:dyDescent="0.25">
      <c r="A268" s="2" t="str">
        <f>"0000346U"</f>
        <v>0000346U</v>
      </c>
      <c r="B268" s="2" t="str">
        <f>"  "</f>
        <v xml:space="preserve">  </v>
      </c>
      <c r="C268" s="1" t="s">
        <v>160</v>
      </c>
      <c r="D268" s="1" t="s">
        <v>0</v>
      </c>
      <c r="E268" s="1" t="s">
        <v>14</v>
      </c>
      <c r="F268" s="2" t="s">
        <v>0</v>
      </c>
      <c r="G268" s="17" t="s">
        <v>1769</v>
      </c>
    </row>
    <row r="269" spans="1:7" ht="43.5" x14ac:dyDescent="0.25">
      <c r="A269" s="2" t="str">
        <f>"0000346U"</f>
        <v>0000346U</v>
      </c>
      <c r="B269" s="2" t="str">
        <f>"90"</f>
        <v>90</v>
      </c>
      <c r="C269" s="1" t="s">
        <v>160</v>
      </c>
      <c r="D269" s="1" t="s">
        <v>0</v>
      </c>
      <c r="E269" s="1" t="s">
        <v>14</v>
      </c>
      <c r="F269" s="2" t="s">
        <v>0</v>
      </c>
      <c r="G269" s="17" t="s">
        <v>1769</v>
      </c>
    </row>
    <row r="270" spans="1:7" ht="43.5" x14ac:dyDescent="0.25">
      <c r="A270" s="2" t="str">
        <f>"0000347U"</f>
        <v>0000347U</v>
      </c>
      <c r="B270" s="2" t="str">
        <f>"  "</f>
        <v xml:space="preserve">  </v>
      </c>
      <c r="C270" s="1" t="s">
        <v>161</v>
      </c>
      <c r="D270" s="1" t="s">
        <v>0</v>
      </c>
      <c r="E270" s="1" t="s">
        <v>14</v>
      </c>
      <c r="F270" s="2" t="s">
        <v>0</v>
      </c>
      <c r="G270" s="17" t="s">
        <v>1769</v>
      </c>
    </row>
    <row r="271" spans="1:7" ht="43.5" x14ac:dyDescent="0.25">
      <c r="A271" s="2" t="str">
        <f>"0000347U"</f>
        <v>0000347U</v>
      </c>
      <c r="B271" s="2" t="str">
        <f>"90"</f>
        <v>90</v>
      </c>
      <c r="C271" s="1" t="s">
        <v>161</v>
      </c>
      <c r="D271" s="1" t="s">
        <v>0</v>
      </c>
      <c r="E271" s="1" t="s">
        <v>14</v>
      </c>
      <c r="F271" s="2" t="s">
        <v>0</v>
      </c>
      <c r="G271" s="17" t="s">
        <v>1769</v>
      </c>
    </row>
    <row r="272" spans="1:7" ht="43.5" x14ac:dyDescent="0.25">
      <c r="A272" s="2" t="str">
        <f>"0000348U"</f>
        <v>0000348U</v>
      </c>
      <c r="B272" s="2" t="str">
        <f>"  "</f>
        <v xml:space="preserve">  </v>
      </c>
      <c r="C272" s="1" t="s">
        <v>161</v>
      </c>
      <c r="D272" s="1" t="s">
        <v>0</v>
      </c>
      <c r="E272" s="1" t="s">
        <v>14</v>
      </c>
      <c r="F272" s="2" t="s">
        <v>0</v>
      </c>
      <c r="G272" s="17" t="s">
        <v>1769</v>
      </c>
    </row>
    <row r="273" spans="1:7" ht="43.5" x14ac:dyDescent="0.25">
      <c r="A273" s="2" t="str">
        <f>"0000348U"</f>
        <v>0000348U</v>
      </c>
      <c r="B273" s="2" t="str">
        <f>"90"</f>
        <v>90</v>
      </c>
      <c r="C273" s="1" t="s">
        <v>161</v>
      </c>
      <c r="D273" s="1" t="s">
        <v>0</v>
      </c>
      <c r="E273" s="1" t="s">
        <v>14</v>
      </c>
      <c r="F273" s="2" t="s">
        <v>0</v>
      </c>
      <c r="G273" s="17" t="s">
        <v>1769</v>
      </c>
    </row>
    <row r="274" spans="1:7" ht="43.5" x14ac:dyDescent="0.25">
      <c r="A274" s="2" t="str">
        <f>"0000349U"</f>
        <v>0000349U</v>
      </c>
      <c r="B274" s="2" t="str">
        <f>"  "</f>
        <v xml:space="preserve">  </v>
      </c>
      <c r="C274" s="1" t="s">
        <v>161</v>
      </c>
      <c r="D274" s="1" t="s">
        <v>0</v>
      </c>
      <c r="E274" s="1" t="s">
        <v>14</v>
      </c>
      <c r="F274" s="2" t="s">
        <v>0</v>
      </c>
      <c r="G274" s="17" t="s">
        <v>1769</v>
      </c>
    </row>
    <row r="275" spans="1:7" ht="43.5" x14ac:dyDescent="0.25">
      <c r="A275" s="2" t="str">
        <f>"0000349U"</f>
        <v>0000349U</v>
      </c>
      <c r="B275" s="2" t="str">
        <f>"90"</f>
        <v>90</v>
      </c>
      <c r="C275" s="1" t="s">
        <v>161</v>
      </c>
      <c r="D275" s="1" t="s">
        <v>0</v>
      </c>
      <c r="E275" s="1" t="s">
        <v>14</v>
      </c>
      <c r="F275" s="2" t="s">
        <v>0</v>
      </c>
      <c r="G275" s="17" t="s">
        <v>1769</v>
      </c>
    </row>
    <row r="276" spans="1:7" ht="43.5" x14ac:dyDescent="0.25">
      <c r="A276" s="2" t="str">
        <f>"0000350U"</f>
        <v>0000350U</v>
      </c>
      <c r="B276" s="2" t="str">
        <f>"  "</f>
        <v xml:space="preserve">  </v>
      </c>
      <c r="C276" s="1" t="s">
        <v>161</v>
      </c>
      <c r="D276" s="1" t="s">
        <v>0</v>
      </c>
      <c r="E276" s="1" t="s">
        <v>14</v>
      </c>
      <c r="F276" s="2" t="s">
        <v>0</v>
      </c>
      <c r="G276" s="17" t="s">
        <v>1769</v>
      </c>
    </row>
    <row r="277" spans="1:7" ht="43.5" x14ac:dyDescent="0.25">
      <c r="A277" s="2" t="str">
        <f>"0000350U"</f>
        <v>0000350U</v>
      </c>
      <c r="B277" s="2" t="str">
        <f>"90"</f>
        <v>90</v>
      </c>
      <c r="C277" s="1" t="s">
        <v>161</v>
      </c>
      <c r="D277" s="1" t="s">
        <v>0</v>
      </c>
      <c r="E277" s="1" t="s">
        <v>14</v>
      </c>
      <c r="F277" s="2" t="s">
        <v>0</v>
      </c>
      <c r="G277" s="17" t="s">
        <v>1769</v>
      </c>
    </row>
    <row r="278" spans="1:7" ht="43.5" x14ac:dyDescent="0.25">
      <c r="A278" s="2" t="str">
        <f>"0000351U"</f>
        <v>0000351U</v>
      </c>
      <c r="B278" s="2" t="str">
        <f>"  "</f>
        <v xml:space="preserve">  </v>
      </c>
      <c r="C278" s="1" t="s">
        <v>162</v>
      </c>
      <c r="D278" s="1" t="s">
        <v>0</v>
      </c>
      <c r="E278" s="1" t="s">
        <v>14</v>
      </c>
      <c r="F278" s="2" t="s">
        <v>0</v>
      </c>
      <c r="G278" s="17" t="s">
        <v>1769</v>
      </c>
    </row>
    <row r="279" spans="1:7" ht="43.5" x14ac:dyDescent="0.25">
      <c r="A279" s="2" t="str">
        <f>"0000351U"</f>
        <v>0000351U</v>
      </c>
      <c r="B279" s="2" t="str">
        <f>"90"</f>
        <v>90</v>
      </c>
      <c r="C279" s="1" t="s">
        <v>162</v>
      </c>
      <c r="D279" s="1" t="s">
        <v>0</v>
      </c>
      <c r="E279" s="1" t="s">
        <v>14</v>
      </c>
      <c r="F279" s="2" t="s">
        <v>0</v>
      </c>
      <c r="G279" s="17" t="s">
        <v>1769</v>
      </c>
    </row>
    <row r="280" spans="1:7" ht="43.5" x14ac:dyDescent="0.25">
      <c r="A280" s="2" t="str">
        <f>"0000352U"</f>
        <v>0000352U</v>
      </c>
      <c r="B280" s="2" t="str">
        <f>"  "</f>
        <v xml:space="preserve">  </v>
      </c>
      <c r="C280" s="1" t="s">
        <v>163</v>
      </c>
      <c r="D280" s="1" t="s">
        <v>0</v>
      </c>
      <c r="E280" s="1" t="s">
        <v>14</v>
      </c>
      <c r="F280" s="2" t="s">
        <v>0</v>
      </c>
      <c r="G280" s="17" t="s">
        <v>1769</v>
      </c>
    </row>
    <row r="281" spans="1:7" ht="43.5" x14ac:dyDescent="0.25">
      <c r="A281" s="2" t="str">
        <f>"0000352U"</f>
        <v>0000352U</v>
      </c>
      <c r="B281" s="2" t="str">
        <f>"90"</f>
        <v>90</v>
      </c>
      <c r="C281" s="1" t="s">
        <v>163</v>
      </c>
      <c r="D281" s="1" t="s">
        <v>0</v>
      </c>
      <c r="E281" s="1" t="s">
        <v>14</v>
      </c>
      <c r="F281" s="2" t="s">
        <v>0</v>
      </c>
      <c r="G281" s="17" t="s">
        <v>1769</v>
      </c>
    </row>
    <row r="282" spans="1:7" ht="43.5" x14ac:dyDescent="0.25">
      <c r="A282" s="2" t="str">
        <f>"0000353U"</f>
        <v>0000353U</v>
      </c>
      <c r="B282" s="2" t="str">
        <f>"  "</f>
        <v xml:space="preserve">  </v>
      </c>
      <c r="C282" s="1" t="s">
        <v>164</v>
      </c>
      <c r="D282" s="1" t="s">
        <v>0</v>
      </c>
      <c r="E282" s="1" t="s">
        <v>14</v>
      </c>
      <c r="F282" s="2" t="s">
        <v>0</v>
      </c>
      <c r="G282" s="17" t="s">
        <v>1769</v>
      </c>
    </row>
    <row r="283" spans="1:7" ht="43.5" x14ac:dyDescent="0.25">
      <c r="A283" s="2" t="str">
        <f>"0000353U"</f>
        <v>0000353U</v>
      </c>
      <c r="B283" s="2" t="str">
        <f>"90"</f>
        <v>90</v>
      </c>
      <c r="C283" s="1" t="s">
        <v>164</v>
      </c>
      <c r="D283" s="1" t="s">
        <v>0</v>
      </c>
      <c r="E283" s="1" t="s">
        <v>14</v>
      </c>
      <c r="F283" s="2" t="s">
        <v>0</v>
      </c>
      <c r="G283" s="17" t="s">
        <v>1769</v>
      </c>
    </row>
    <row r="284" spans="1:7" ht="43.5" x14ac:dyDescent="0.25">
      <c r="A284" s="2" t="str">
        <f>"0000354U"</f>
        <v>0000354U</v>
      </c>
      <c r="B284" s="2" t="str">
        <f>"  "</f>
        <v xml:space="preserve">  </v>
      </c>
      <c r="C284" s="1" t="s">
        <v>165</v>
      </c>
      <c r="D284" s="1" t="s">
        <v>0</v>
      </c>
      <c r="E284" s="1" t="s">
        <v>14</v>
      </c>
      <c r="F284" s="2" t="s">
        <v>0</v>
      </c>
      <c r="G284" s="17" t="s">
        <v>1769</v>
      </c>
    </row>
    <row r="285" spans="1:7" ht="43.5" x14ac:dyDescent="0.25">
      <c r="A285" s="2" t="str">
        <f>"0000354U"</f>
        <v>0000354U</v>
      </c>
      <c r="B285" s="2" t="str">
        <f>"90"</f>
        <v>90</v>
      </c>
      <c r="C285" s="1" t="s">
        <v>165</v>
      </c>
      <c r="D285" s="1" t="s">
        <v>0</v>
      </c>
      <c r="E285" s="1" t="s">
        <v>14</v>
      </c>
      <c r="F285" s="2" t="s">
        <v>0</v>
      </c>
      <c r="G285" s="17" t="s">
        <v>1769</v>
      </c>
    </row>
    <row r="286" spans="1:7" ht="43.5" x14ac:dyDescent="0.25">
      <c r="A286" s="2" t="str">
        <f>"0000355U"</f>
        <v>0000355U</v>
      </c>
      <c r="B286" s="2" t="str">
        <f>"  "</f>
        <v xml:space="preserve">  </v>
      </c>
      <c r="C286" s="1" t="s">
        <v>166</v>
      </c>
      <c r="D286" s="1" t="s">
        <v>0</v>
      </c>
      <c r="E286" s="1" t="s">
        <v>14</v>
      </c>
      <c r="F286" s="2" t="s">
        <v>0</v>
      </c>
      <c r="G286" s="17" t="s">
        <v>1769</v>
      </c>
    </row>
    <row r="287" spans="1:7" ht="43.5" x14ac:dyDescent="0.25">
      <c r="A287" s="2" t="str">
        <f>"0000355U"</f>
        <v>0000355U</v>
      </c>
      <c r="B287" s="2" t="str">
        <f>"90"</f>
        <v>90</v>
      </c>
      <c r="C287" s="1" t="s">
        <v>166</v>
      </c>
      <c r="D287" s="1" t="s">
        <v>0</v>
      </c>
      <c r="E287" s="1" t="s">
        <v>14</v>
      </c>
      <c r="F287" s="2" t="s">
        <v>0</v>
      </c>
      <c r="G287" s="17" t="s">
        <v>1769</v>
      </c>
    </row>
    <row r="288" spans="1:7" ht="43.5" x14ac:dyDescent="0.25">
      <c r="A288" s="2" t="str">
        <f>"0000356U"</f>
        <v>0000356U</v>
      </c>
      <c r="B288" s="2" t="str">
        <f>"  "</f>
        <v xml:space="preserve">  </v>
      </c>
      <c r="C288" s="1" t="s">
        <v>167</v>
      </c>
      <c r="D288" s="1" t="s">
        <v>0</v>
      </c>
      <c r="E288" s="1" t="s">
        <v>14</v>
      </c>
      <c r="F288" s="2" t="s">
        <v>0</v>
      </c>
      <c r="G288" s="17" t="s">
        <v>1769</v>
      </c>
    </row>
    <row r="289" spans="1:7" ht="43.5" x14ac:dyDescent="0.25">
      <c r="A289" s="2" t="str">
        <f>"0000356U"</f>
        <v>0000356U</v>
      </c>
      <c r="B289" s="2" t="str">
        <f>"90"</f>
        <v>90</v>
      </c>
      <c r="C289" s="1" t="s">
        <v>167</v>
      </c>
      <c r="D289" s="1" t="s">
        <v>0</v>
      </c>
      <c r="E289" s="1" t="s">
        <v>14</v>
      </c>
      <c r="F289" s="2" t="s">
        <v>0</v>
      </c>
      <c r="G289" s="17" t="s">
        <v>1769</v>
      </c>
    </row>
    <row r="290" spans="1:7" ht="43.5" x14ac:dyDescent="0.25">
      <c r="A290" s="2" t="str">
        <f>"0000357U"</f>
        <v>0000357U</v>
      </c>
      <c r="B290" s="2" t="str">
        <f>"  "</f>
        <v xml:space="preserve">  </v>
      </c>
      <c r="C290" s="1" t="s">
        <v>168</v>
      </c>
      <c r="D290" s="1" t="s">
        <v>0</v>
      </c>
      <c r="E290" s="1" t="s">
        <v>10</v>
      </c>
      <c r="F290" s="2" t="s">
        <v>0</v>
      </c>
      <c r="G290" s="18" t="s">
        <v>10</v>
      </c>
    </row>
    <row r="291" spans="1:7" ht="43.5" x14ac:dyDescent="0.25">
      <c r="A291" s="2" t="str">
        <f>"0000357U"</f>
        <v>0000357U</v>
      </c>
      <c r="B291" s="2" t="str">
        <f>"90"</f>
        <v>90</v>
      </c>
      <c r="C291" s="1" t="s">
        <v>168</v>
      </c>
      <c r="D291" s="1" t="s">
        <v>0</v>
      </c>
      <c r="E291" s="1" t="s">
        <v>10</v>
      </c>
      <c r="F291" s="2" t="s">
        <v>0</v>
      </c>
      <c r="G291" s="18" t="s">
        <v>10</v>
      </c>
    </row>
    <row r="292" spans="1:7" ht="43.5" x14ac:dyDescent="0.25">
      <c r="A292" s="2" t="str">
        <f>"0000358U"</f>
        <v>0000358U</v>
      </c>
      <c r="B292" s="2" t="str">
        <f>"  "</f>
        <v xml:space="preserve">  </v>
      </c>
      <c r="C292" s="1" t="s">
        <v>169</v>
      </c>
      <c r="D292" s="1" t="s">
        <v>0</v>
      </c>
      <c r="E292" s="1" t="s">
        <v>14</v>
      </c>
      <c r="F292" s="2" t="s">
        <v>0</v>
      </c>
      <c r="G292" s="17" t="s">
        <v>1769</v>
      </c>
    </row>
    <row r="293" spans="1:7" ht="43.5" x14ac:dyDescent="0.25">
      <c r="A293" s="2" t="str">
        <f>"0000358U"</f>
        <v>0000358U</v>
      </c>
      <c r="B293" s="2" t="str">
        <f>"90"</f>
        <v>90</v>
      </c>
      <c r="C293" s="1" t="s">
        <v>169</v>
      </c>
      <c r="D293" s="1" t="s">
        <v>0</v>
      </c>
      <c r="E293" s="1" t="s">
        <v>14</v>
      </c>
      <c r="F293" s="2" t="s">
        <v>0</v>
      </c>
      <c r="G293" s="17" t="s">
        <v>1769</v>
      </c>
    </row>
    <row r="294" spans="1:7" ht="43.5" x14ac:dyDescent="0.25">
      <c r="A294" s="2" t="str">
        <f>"0000359U"</f>
        <v>0000359U</v>
      </c>
      <c r="B294" s="2" t="str">
        <f>"  "</f>
        <v xml:space="preserve">  </v>
      </c>
      <c r="C294" s="1" t="s">
        <v>170</v>
      </c>
      <c r="D294" s="1" t="s">
        <v>0</v>
      </c>
      <c r="E294" s="1" t="s">
        <v>14</v>
      </c>
      <c r="F294" s="2" t="s">
        <v>0</v>
      </c>
      <c r="G294" s="17" t="s">
        <v>1769</v>
      </c>
    </row>
    <row r="295" spans="1:7" ht="43.5" x14ac:dyDescent="0.25">
      <c r="A295" s="2" t="str">
        <f>"0000359U"</f>
        <v>0000359U</v>
      </c>
      <c r="B295" s="2" t="str">
        <f>"90"</f>
        <v>90</v>
      </c>
      <c r="C295" s="1" t="s">
        <v>170</v>
      </c>
      <c r="D295" s="1" t="s">
        <v>0</v>
      </c>
      <c r="E295" s="1" t="s">
        <v>14</v>
      </c>
      <c r="F295" s="2" t="s">
        <v>0</v>
      </c>
      <c r="G295" s="17" t="s">
        <v>1769</v>
      </c>
    </row>
    <row r="296" spans="1:7" ht="43.5" x14ac:dyDescent="0.25">
      <c r="A296" s="2" t="str">
        <f>"0000360U"</f>
        <v>0000360U</v>
      </c>
      <c r="B296" s="2" t="str">
        <f>"  "</f>
        <v xml:space="preserve">  </v>
      </c>
      <c r="C296" s="1" t="s">
        <v>171</v>
      </c>
      <c r="D296" s="1" t="s">
        <v>0</v>
      </c>
      <c r="E296" s="1" t="s">
        <v>14</v>
      </c>
      <c r="F296" s="2" t="s">
        <v>0</v>
      </c>
      <c r="G296" s="17" t="s">
        <v>1769</v>
      </c>
    </row>
    <row r="297" spans="1:7" ht="43.5" x14ac:dyDescent="0.25">
      <c r="A297" s="2" t="str">
        <f>"0000360U"</f>
        <v>0000360U</v>
      </c>
      <c r="B297" s="2" t="str">
        <f>"90"</f>
        <v>90</v>
      </c>
      <c r="C297" s="1" t="s">
        <v>171</v>
      </c>
      <c r="D297" s="1" t="s">
        <v>0</v>
      </c>
      <c r="E297" s="1" t="s">
        <v>14</v>
      </c>
      <c r="F297" s="2" t="s">
        <v>0</v>
      </c>
      <c r="G297" s="17" t="s">
        <v>1769</v>
      </c>
    </row>
    <row r="298" spans="1:7" ht="43.5" x14ac:dyDescent="0.25">
      <c r="A298" s="2" t="str">
        <f>"0000361U"</f>
        <v>0000361U</v>
      </c>
      <c r="B298" s="2" t="str">
        <f>"  "</f>
        <v xml:space="preserve">  </v>
      </c>
      <c r="C298" s="1" t="s">
        <v>172</v>
      </c>
      <c r="D298" s="1" t="s">
        <v>0</v>
      </c>
      <c r="E298" s="1" t="s">
        <v>14</v>
      </c>
      <c r="F298" s="2" t="s">
        <v>0</v>
      </c>
      <c r="G298" s="17" t="s">
        <v>1769</v>
      </c>
    </row>
    <row r="299" spans="1:7" ht="43.5" x14ac:dyDescent="0.25">
      <c r="A299" s="2" t="str">
        <f>"0000361U"</f>
        <v>0000361U</v>
      </c>
      <c r="B299" s="2" t="str">
        <f>"90"</f>
        <v>90</v>
      </c>
      <c r="C299" s="1" t="s">
        <v>172</v>
      </c>
      <c r="D299" s="1" t="s">
        <v>0</v>
      </c>
      <c r="E299" s="1" t="s">
        <v>14</v>
      </c>
      <c r="F299" s="2" t="s">
        <v>0</v>
      </c>
      <c r="G299" s="17" t="s">
        <v>1769</v>
      </c>
    </row>
    <row r="300" spans="1:7" ht="43.5" x14ac:dyDescent="0.25">
      <c r="A300" s="2" t="str">
        <f>"0000362U"</f>
        <v>0000362U</v>
      </c>
      <c r="B300" s="2" t="str">
        <f>"  "</f>
        <v xml:space="preserve">  </v>
      </c>
      <c r="C300" s="1" t="s">
        <v>173</v>
      </c>
      <c r="D300" s="1" t="s">
        <v>0</v>
      </c>
      <c r="E300" s="1" t="s">
        <v>14</v>
      </c>
      <c r="F300" s="2" t="s">
        <v>0</v>
      </c>
      <c r="G300" s="17" t="s">
        <v>1769</v>
      </c>
    </row>
    <row r="301" spans="1:7" ht="43.5" x14ac:dyDescent="0.25">
      <c r="A301" s="2" t="str">
        <f>"0000362U"</f>
        <v>0000362U</v>
      </c>
      <c r="B301" s="2" t="str">
        <f>"90"</f>
        <v>90</v>
      </c>
      <c r="C301" s="1" t="s">
        <v>173</v>
      </c>
      <c r="D301" s="1" t="s">
        <v>0</v>
      </c>
      <c r="E301" s="1" t="s">
        <v>14</v>
      </c>
      <c r="F301" s="2" t="s">
        <v>0</v>
      </c>
      <c r="G301" s="17" t="s">
        <v>1769</v>
      </c>
    </row>
    <row r="302" spans="1:7" ht="43.5" x14ac:dyDescent="0.25">
      <c r="A302" s="2" t="str">
        <f>"0000363U"</f>
        <v>0000363U</v>
      </c>
      <c r="B302" s="2" t="str">
        <f>"  "</f>
        <v xml:space="preserve">  </v>
      </c>
      <c r="C302" s="1" t="s">
        <v>174</v>
      </c>
      <c r="D302" s="1" t="s">
        <v>0</v>
      </c>
      <c r="E302" s="1" t="s">
        <v>14</v>
      </c>
      <c r="F302" s="2" t="s">
        <v>0</v>
      </c>
      <c r="G302" s="17" t="s">
        <v>1769</v>
      </c>
    </row>
    <row r="303" spans="1:7" ht="43.5" x14ac:dyDescent="0.25">
      <c r="A303" s="2" t="str">
        <f>"0000363U"</f>
        <v>0000363U</v>
      </c>
      <c r="B303" s="2" t="str">
        <f>"90"</f>
        <v>90</v>
      </c>
      <c r="C303" s="1" t="s">
        <v>174</v>
      </c>
      <c r="D303" s="1" t="s">
        <v>0</v>
      </c>
      <c r="E303" s="1" t="s">
        <v>14</v>
      </c>
      <c r="F303" s="2" t="s">
        <v>0</v>
      </c>
      <c r="G303" s="17" t="s">
        <v>1769</v>
      </c>
    </row>
    <row r="304" spans="1:7" ht="43.5" x14ac:dyDescent="0.25">
      <c r="A304" s="2" t="str">
        <f>"0000364U"</f>
        <v>0000364U</v>
      </c>
      <c r="B304" s="2" t="str">
        <f>"  "</f>
        <v xml:space="preserve">  </v>
      </c>
      <c r="C304" s="1" t="s">
        <v>175</v>
      </c>
      <c r="D304" s="1" t="s">
        <v>0</v>
      </c>
      <c r="E304" s="1" t="s">
        <v>14</v>
      </c>
      <c r="F304" s="2" t="s">
        <v>0</v>
      </c>
      <c r="G304" s="17" t="s">
        <v>1769</v>
      </c>
    </row>
    <row r="305" spans="1:7" ht="43.5" x14ac:dyDescent="0.25">
      <c r="A305" s="2" t="str">
        <f>"0000364U"</f>
        <v>0000364U</v>
      </c>
      <c r="B305" s="2" t="str">
        <f>"90"</f>
        <v>90</v>
      </c>
      <c r="C305" s="1" t="s">
        <v>175</v>
      </c>
      <c r="D305" s="1" t="s">
        <v>0</v>
      </c>
      <c r="E305" s="1" t="s">
        <v>14</v>
      </c>
      <c r="F305" s="2" t="s">
        <v>0</v>
      </c>
      <c r="G305" s="17" t="s">
        <v>1769</v>
      </c>
    </row>
    <row r="306" spans="1:7" ht="43.5" x14ac:dyDescent="0.25">
      <c r="A306" s="2" t="str">
        <f>"0000365U"</f>
        <v>0000365U</v>
      </c>
      <c r="B306" s="2" t="str">
        <f>"  "</f>
        <v xml:space="preserve">  </v>
      </c>
      <c r="C306" s="1" t="s">
        <v>176</v>
      </c>
      <c r="D306" s="1" t="s">
        <v>0</v>
      </c>
      <c r="E306" s="1" t="s">
        <v>14</v>
      </c>
      <c r="F306" s="2" t="s">
        <v>0</v>
      </c>
      <c r="G306" s="17" t="s">
        <v>1769</v>
      </c>
    </row>
    <row r="307" spans="1:7" ht="43.5" x14ac:dyDescent="0.25">
      <c r="A307" s="2" t="str">
        <f>"0000365U"</f>
        <v>0000365U</v>
      </c>
      <c r="B307" s="2" t="str">
        <f>"90"</f>
        <v>90</v>
      </c>
      <c r="C307" s="1" t="s">
        <v>176</v>
      </c>
      <c r="D307" s="1" t="s">
        <v>0</v>
      </c>
      <c r="E307" s="1" t="s">
        <v>14</v>
      </c>
      <c r="F307" s="2" t="s">
        <v>0</v>
      </c>
      <c r="G307" s="17" t="s">
        <v>1769</v>
      </c>
    </row>
    <row r="308" spans="1:7" ht="43.5" x14ac:dyDescent="0.25">
      <c r="A308" s="2" t="str">
        <f>"0000366U"</f>
        <v>0000366U</v>
      </c>
      <c r="B308" s="2" t="str">
        <f>"  "</f>
        <v xml:space="preserve">  </v>
      </c>
      <c r="C308" s="1" t="s">
        <v>176</v>
      </c>
      <c r="D308" s="1" t="s">
        <v>0</v>
      </c>
      <c r="E308" s="1" t="s">
        <v>14</v>
      </c>
      <c r="F308" s="2" t="s">
        <v>0</v>
      </c>
      <c r="G308" s="17" t="s">
        <v>1769</v>
      </c>
    </row>
    <row r="309" spans="1:7" ht="43.5" x14ac:dyDescent="0.25">
      <c r="A309" s="2" t="str">
        <f>"0000366U"</f>
        <v>0000366U</v>
      </c>
      <c r="B309" s="2" t="str">
        <f>"90"</f>
        <v>90</v>
      </c>
      <c r="C309" s="1" t="s">
        <v>176</v>
      </c>
      <c r="D309" s="1" t="s">
        <v>0</v>
      </c>
      <c r="E309" s="1" t="s">
        <v>14</v>
      </c>
      <c r="F309" s="2" t="s">
        <v>0</v>
      </c>
      <c r="G309" s="17" t="s">
        <v>1769</v>
      </c>
    </row>
    <row r="310" spans="1:7" ht="43.5" x14ac:dyDescent="0.25">
      <c r="A310" s="2" t="str">
        <f>"0000367U"</f>
        <v>0000367U</v>
      </c>
      <c r="B310" s="2" t="str">
        <f>"  "</f>
        <v xml:space="preserve">  </v>
      </c>
      <c r="C310" s="1" t="s">
        <v>176</v>
      </c>
      <c r="D310" s="1" t="s">
        <v>0</v>
      </c>
      <c r="E310" s="1" t="s">
        <v>14</v>
      </c>
      <c r="F310" s="2" t="s">
        <v>0</v>
      </c>
      <c r="G310" s="17" t="s">
        <v>1769</v>
      </c>
    </row>
    <row r="311" spans="1:7" ht="43.5" x14ac:dyDescent="0.25">
      <c r="A311" s="2" t="str">
        <f>"0000367U"</f>
        <v>0000367U</v>
      </c>
      <c r="B311" s="2" t="str">
        <f>"90"</f>
        <v>90</v>
      </c>
      <c r="C311" s="1" t="s">
        <v>176</v>
      </c>
      <c r="D311" s="1" t="s">
        <v>0</v>
      </c>
      <c r="E311" s="1" t="s">
        <v>14</v>
      </c>
      <c r="F311" s="2" t="s">
        <v>0</v>
      </c>
      <c r="G311" s="17" t="s">
        <v>1769</v>
      </c>
    </row>
    <row r="312" spans="1:7" ht="43.5" x14ac:dyDescent="0.25">
      <c r="A312" s="2" t="str">
        <f>"0000368U"</f>
        <v>0000368U</v>
      </c>
      <c r="B312" s="2" t="str">
        <f>"  "</f>
        <v xml:space="preserve">  </v>
      </c>
      <c r="C312" s="1" t="s">
        <v>177</v>
      </c>
      <c r="D312" s="1" t="s">
        <v>0</v>
      </c>
      <c r="E312" s="1" t="s">
        <v>14</v>
      </c>
      <c r="F312" s="2" t="s">
        <v>0</v>
      </c>
      <c r="G312" s="17" t="s">
        <v>1769</v>
      </c>
    </row>
    <row r="313" spans="1:7" ht="43.5" x14ac:dyDescent="0.25">
      <c r="A313" s="2" t="str">
        <f>"0000368U"</f>
        <v>0000368U</v>
      </c>
      <c r="B313" s="2" t="str">
        <f>"90"</f>
        <v>90</v>
      </c>
      <c r="C313" s="1" t="s">
        <v>177</v>
      </c>
      <c r="D313" s="1" t="s">
        <v>0</v>
      </c>
      <c r="E313" s="1" t="s">
        <v>14</v>
      </c>
      <c r="F313" s="2" t="s">
        <v>0</v>
      </c>
      <c r="G313" s="17" t="s">
        <v>1769</v>
      </c>
    </row>
    <row r="314" spans="1:7" ht="43.5" x14ac:dyDescent="0.25">
      <c r="A314" s="2" t="str">
        <f>"0000369U"</f>
        <v>0000369U</v>
      </c>
      <c r="B314" s="2" t="str">
        <f>"  "</f>
        <v xml:space="preserve">  </v>
      </c>
      <c r="C314" s="1" t="s">
        <v>178</v>
      </c>
      <c r="D314" s="1" t="s">
        <v>0</v>
      </c>
      <c r="E314" s="1" t="s">
        <v>14</v>
      </c>
      <c r="F314" s="2" t="s">
        <v>0</v>
      </c>
      <c r="G314" s="17" t="s">
        <v>1769</v>
      </c>
    </row>
    <row r="315" spans="1:7" ht="43.5" x14ac:dyDescent="0.25">
      <c r="A315" s="2" t="str">
        <f>"0000369U"</f>
        <v>0000369U</v>
      </c>
      <c r="B315" s="2" t="str">
        <f>"90"</f>
        <v>90</v>
      </c>
      <c r="C315" s="1" t="s">
        <v>178</v>
      </c>
      <c r="D315" s="1" t="s">
        <v>0</v>
      </c>
      <c r="E315" s="1" t="s">
        <v>14</v>
      </c>
      <c r="F315" s="2" t="s">
        <v>0</v>
      </c>
      <c r="G315" s="17" t="s">
        <v>1769</v>
      </c>
    </row>
    <row r="316" spans="1:7" ht="43.5" x14ac:dyDescent="0.25">
      <c r="A316" s="2" t="str">
        <f>"0000370U"</f>
        <v>0000370U</v>
      </c>
      <c r="B316" s="2" t="str">
        <f>"  "</f>
        <v xml:space="preserve">  </v>
      </c>
      <c r="C316" s="1" t="s">
        <v>179</v>
      </c>
      <c r="D316" s="1" t="s">
        <v>0</v>
      </c>
      <c r="E316" s="1" t="s">
        <v>14</v>
      </c>
      <c r="F316" s="2" t="s">
        <v>0</v>
      </c>
      <c r="G316" s="17" t="s">
        <v>1769</v>
      </c>
    </row>
    <row r="317" spans="1:7" ht="43.5" x14ac:dyDescent="0.25">
      <c r="A317" s="2" t="str">
        <f>"0000370U"</f>
        <v>0000370U</v>
      </c>
      <c r="B317" s="2" t="str">
        <f>"90"</f>
        <v>90</v>
      </c>
      <c r="C317" s="1" t="s">
        <v>179</v>
      </c>
      <c r="D317" s="1" t="s">
        <v>0</v>
      </c>
      <c r="E317" s="1" t="s">
        <v>14</v>
      </c>
      <c r="F317" s="2" t="s">
        <v>0</v>
      </c>
      <c r="G317" s="17" t="s">
        <v>1769</v>
      </c>
    </row>
    <row r="318" spans="1:7" ht="43.5" x14ac:dyDescent="0.25">
      <c r="A318" s="2" t="str">
        <f>"0000371U"</f>
        <v>0000371U</v>
      </c>
      <c r="B318" s="2" t="str">
        <f>"  "</f>
        <v xml:space="preserve">  </v>
      </c>
      <c r="C318" s="1" t="s">
        <v>180</v>
      </c>
      <c r="D318" s="1" t="s">
        <v>0</v>
      </c>
      <c r="E318" s="1" t="s">
        <v>14</v>
      </c>
      <c r="F318" s="2" t="s">
        <v>0</v>
      </c>
      <c r="G318" s="17" t="s">
        <v>1769</v>
      </c>
    </row>
    <row r="319" spans="1:7" ht="43.5" x14ac:dyDescent="0.25">
      <c r="A319" s="2" t="str">
        <f>"0000371U"</f>
        <v>0000371U</v>
      </c>
      <c r="B319" s="2" t="str">
        <f>"90"</f>
        <v>90</v>
      </c>
      <c r="C319" s="1" t="s">
        <v>180</v>
      </c>
      <c r="D319" s="1" t="s">
        <v>0</v>
      </c>
      <c r="E319" s="1" t="s">
        <v>14</v>
      </c>
      <c r="F319" s="2" t="s">
        <v>0</v>
      </c>
      <c r="G319" s="17" t="s">
        <v>1769</v>
      </c>
    </row>
    <row r="320" spans="1:7" ht="57.75" x14ac:dyDescent="0.25">
      <c r="A320" s="2" t="str">
        <f>"0000372U"</f>
        <v>0000372U</v>
      </c>
      <c r="B320" s="2" t="str">
        <f>"  "</f>
        <v xml:space="preserve">  </v>
      </c>
      <c r="C320" s="1" t="s">
        <v>181</v>
      </c>
      <c r="D320" s="1" t="s">
        <v>0</v>
      </c>
      <c r="E320" s="1" t="s">
        <v>14</v>
      </c>
      <c r="F320" s="2" t="s">
        <v>0</v>
      </c>
      <c r="G320" s="17" t="s">
        <v>1769</v>
      </c>
    </row>
    <row r="321" spans="1:7" ht="57.75" x14ac:dyDescent="0.25">
      <c r="A321" s="2" t="str">
        <f>"0000372U"</f>
        <v>0000372U</v>
      </c>
      <c r="B321" s="2" t="str">
        <f>"90"</f>
        <v>90</v>
      </c>
      <c r="C321" s="1" t="s">
        <v>181</v>
      </c>
      <c r="D321" s="1" t="s">
        <v>0</v>
      </c>
      <c r="E321" s="1" t="s">
        <v>14</v>
      </c>
      <c r="F321" s="2" t="s">
        <v>0</v>
      </c>
      <c r="G321" s="17" t="s">
        <v>1769</v>
      </c>
    </row>
    <row r="322" spans="1:7" ht="43.5" x14ac:dyDescent="0.25">
      <c r="A322" s="2" t="str">
        <f>"0000373U"</f>
        <v>0000373U</v>
      </c>
      <c r="B322" s="2" t="str">
        <f>"  "</f>
        <v xml:space="preserve">  </v>
      </c>
      <c r="C322" s="1" t="s">
        <v>182</v>
      </c>
      <c r="D322" s="1" t="s">
        <v>0</v>
      </c>
      <c r="E322" s="1" t="s">
        <v>14</v>
      </c>
      <c r="F322" s="2" t="s">
        <v>0</v>
      </c>
      <c r="G322" s="17" t="s">
        <v>1769</v>
      </c>
    </row>
    <row r="323" spans="1:7" ht="43.5" x14ac:dyDescent="0.25">
      <c r="A323" s="2" t="str">
        <f>"0000373U"</f>
        <v>0000373U</v>
      </c>
      <c r="B323" s="2" t="str">
        <f>"90"</f>
        <v>90</v>
      </c>
      <c r="C323" s="1" t="s">
        <v>182</v>
      </c>
      <c r="D323" s="1" t="s">
        <v>0</v>
      </c>
      <c r="E323" s="1" t="s">
        <v>14</v>
      </c>
      <c r="F323" s="2" t="s">
        <v>0</v>
      </c>
      <c r="G323" s="17" t="s">
        <v>1769</v>
      </c>
    </row>
    <row r="324" spans="1:7" ht="43.5" x14ac:dyDescent="0.25">
      <c r="A324" s="2" t="str">
        <f>"0000374U"</f>
        <v>0000374U</v>
      </c>
      <c r="B324" s="2" t="str">
        <f>"  "</f>
        <v xml:space="preserve">  </v>
      </c>
      <c r="C324" s="1" t="s">
        <v>136</v>
      </c>
      <c r="D324" s="1" t="s">
        <v>0</v>
      </c>
      <c r="E324" s="1" t="s">
        <v>14</v>
      </c>
      <c r="F324" s="2" t="s">
        <v>0</v>
      </c>
      <c r="G324" s="17" t="s">
        <v>1769</v>
      </c>
    </row>
    <row r="325" spans="1:7" ht="43.5" x14ac:dyDescent="0.25">
      <c r="A325" s="2" t="str">
        <f>"0000374U"</f>
        <v>0000374U</v>
      </c>
      <c r="B325" s="2" t="str">
        <f>"90"</f>
        <v>90</v>
      </c>
      <c r="C325" s="1" t="s">
        <v>136</v>
      </c>
      <c r="D325" s="1" t="s">
        <v>0</v>
      </c>
      <c r="E325" s="1" t="s">
        <v>14</v>
      </c>
      <c r="F325" s="2" t="s">
        <v>0</v>
      </c>
      <c r="G325" s="17" t="s">
        <v>1769</v>
      </c>
    </row>
    <row r="326" spans="1:7" ht="57.75" x14ac:dyDescent="0.25">
      <c r="A326" s="2" t="str">
        <f>"0000375U"</f>
        <v>0000375U</v>
      </c>
      <c r="B326" s="2" t="str">
        <f>"  "</f>
        <v xml:space="preserve">  </v>
      </c>
      <c r="C326" s="1" t="s">
        <v>183</v>
      </c>
      <c r="D326" s="1" t="s">
        <v>0</v>
      </c>
      <c r="E326" s="1" t="s">
        <v>14</v>
      </c>
      <c r="F326" s="2" t="s">
        <v>0</v>
      </c>
      <c r="G326" s="17" t="s">
        <v>1769</v>
      </c>
    </row>
    <row r="327" spans="1:7" ht="57.75" x14ac:dyDescent="0.25">
      <c r="A327" s="2" t="str">
        <f>"0000375U"</f>
        <v>0000375U</v>
      </c>
      <c r="B327" s="2" t="str">
        <f>"90"</f>
        <v>90</v>
      </c>
      <c r="C327" s="1" t="s">
        <v>183</v>
      </c>
      <c r="D327" s="1" t="s">
        <v>0</v>
      </c>
      <c r="E327" s="1" t="s">
        <v>14</v>
      </c>
      <c r="F327" s="2" t="s">
        <v>0</v>
      </c>
      <c r="G327" s="17" t="s">
        <v>1769</v>
      </c>
    </row>
    <row r="328" spans="1:7" ht="43.5" x14ac:dyDescent="0.25">
      <c r="A328" s="2" t="str">
        <f>"0000376U"</f>
        <v>0000376U</v>
      </c>
      <c r="B328" s="2" t="str">
        <f>"  "</f>
        <v xml:space="preserve">  </v>
      </c>
      <c r="C328" s="1" t="s">
        <v>184</v>
      </c>
      <c r="D328" s="1" t="s">
        <v>0</v>
      </c>
      <c r="E328" s="1" t="s">
        <v>14</v>
      </c>
      <c r="F328" s="2" t="s">
        <v>0</v>
      </c>
      <c r="G328" s="17" t="s">
        <v>1769</v>
      </c>
    </row>
    <row r="329" spans="1:7" ht="43.5" x14ac:dyDescent="0.25">
      <c r="A329" s="2" t="str">
        <f>"0000376U"</f>
        <v>0000376U</v>
      </c>
      <c r="B329" s="2" t="str">
        <f>"90"</f>
        <v>90</v>
      </c>
      <c r="C329" s="1" t="s">
        <v>184</v>
      </c>
      <c r="D329" s="1" t="s">
        <v>0</v>
      </c>
      <c r="E329" s="1" t="s">
        <v>14</v>
      </c>
      <c r="F329" s="2" t="s">
        <v>0</v>
      </c>
      <c r="G329" s="17" t="s">
        <v>1769</v>
      </c>
    </row>
    <row r="330" spans="1:7" ht="43.5" x14ac:dyDescent="0.25">
      <c r="A330" s="2" t="str">
        <f>"0000377U"</f>
        <v>0000377U</v>
      </c>
      <c r="B330" s="2" t="str">
        <f>"  "</f>
        <v xml:space="preserve">  </v>
      </c>
      <c r="C330" s="1" t="s">
        <v>185</v>
      </c>
      <c r="D330" s="1" t="s">
        <v>0</v>
      </c>
      <c r="E330" s="1" t="s">
        <v>14</v>
      </c>
      <c r="F330" s="2" t="s">
        <v>0</v>
      </c>
      <c r="G330" s="17" t="s">
        <v>1769</v>
      </c>
    </row>
    <row r="331" spans="1:7" ht="43.5" x14ac:dyDescent="0.25">
      <c r="A331" s="2" t="str">
        <f>"0000377U"</f>
        <v>0000377U</v>
      </c>
      <c r="B331" s="2" t="str">
        <f>"90"</f>
        <v>90</v>
      </c>
      <c r="C331" s="1" t="s">
        <v>185</v>
      </c>
      <c r="D331" s="1" t="s">
        <v>0</v>
      </c>
      <c r="E331" s="1" t="s">
        <v>14</v>
      </c>
      <c r="F331" s="2" t="s">
        <v>0</v>
      </c>
      <c r="G331" s="17" t="s">
        <v>1769</v>
      </c>
    </row>
    <row r="332" spans="1:7" ht="43.5" x14ac:dyDescent="0.25">
      <c r="A332" s="2" t="str">
        <f>"0000378U"</f>
        <v>0000378U</v>
      </c>
      <c r="B332" s="2" t="str">
        <f>"  "</f>
        <v xml:space="preserve">  </v>
      </c>
      <c r="C332" s="1" t="s">
        <v>186</v>
      </c>
      <c r="D332" s="1" t="s">
        <v>0</v>
      </c>
      <c r="E332" s="1" t="s">
        <v>14</v>
      </c>
      <c r="F332" s="2" t="s">
        <v>0</v>
      </c>
      <c r="G332" s="17" t="s">
        <v>1769</v>
      </c>
    </row>
    <row r="333" spans="1:7" ht="43.5" x14ac:dyDescent="0.25">
      <c r="A333" s="2" t="str">
        <f>"0000378U"</f>
        <v>0000378U</v>
      </c>
      <c r="B333" s="2" t="str">
        <f>"90"</f>
        <v>90</v>
      </c>
      <c r="C333" s="1" t="s">
        <v>186</v>
      </c>
      <c r="D333" s="1" t="s">
        <v>0</v>
      </c>
      <c r="E333" s="1" t="s">
        <v>14</v>
      </c>
      <c r="F333" s="2" t="s">
        <v>0</v>
      </c>
      <c r="G333" s="17" t="s">
        <v>1769</v>
      </c>
    </row>
    <row r="334" spans="1:7" ht="43.5" x14ac:dyDescent="0.25">
      <c r="A334" s="2" t="str">
        <f>"0000379U"</f>
        <v>0000379U</v>
      </c>
      <c r="B334" s="2" t="str">
        <f>"  "</f>
        <v xml:space="preserve">  </v>
      </c>
      <c r="C334" s="1" t="s">
        <v>187</v>
      </c>
      <c r="D334" s="1" t="s">
        <v>0</v>
      </c>
      <c r="E334" s="1" t="s">
        <v>14</v>
      </c>
      <c r="F334" s="2" t="s">
        <v>0</v>
      </c>
      <c r="G334" s="17" t="s">
        <v>1769</v>
      </c>
    </row>
    <row r="335" spans="1:7" ht="43.5" x14ac:dyDescent="0.25">
      <c r="A335" s="2" t="str">
        <f>"0000379U"</f>
        <v>0000379U</v>
      </c>
      <c r="B335" s="2" t="str">
        <f>"90"</f>
        <v>90</v>
      </c>
      <c r="C335" s="1" t="s">
        <v>187</v>
      </c>
      <c r="D335" s="1" t="s">
        <v>0</v>
      </c>
      <c r="E335" s="1" t="s">
        <v>14</v>
      </c>
      <c r="F335" s="2" t="s">
        <v>0</v>
      </c>
      <c r="G335" s="17" t="s">
        <v>1769</v>
      </c>
    </row>
    <row r="336" spans="1:7" ht="57.75" x14ac:dyDescent="0.25">
      <c r="A336" s="2" t="str">
        <f>"0000380U"</f>
        <v>0000380U</v>
      </c>
      <c r="B336" s="2" t="str">
        <f>"  "</f>
        <v xml:space="preserve">  </v>
      </c>
      <c r="C336" s="1" t="s">
        <v>188</v>
      </c>
      <c r="D336" s="1" t="s">
        <v>0</v>
      </c>
      <c r="E336" s="1" t="s">
        <v>14</v>
      </c>
      <c r="F336" s="2" t="s">
        <v>0</v>
      </c>
      <c r="G336" s="17" t="s">
        <v>1769</v>
      </c>
    </row>
    <row r="337" spans="1:7" ht="57.75" x14ac:dyDescent="0.25">
      <c r="A337" s="2" t="str">
        <f>"0000380U"</f>
        <v>0000380U</v>
      </c>
      <c r="B337" s="2" t="str">
        <f>"90"</f>
        <v>90</v>
      </c>
      <c r="C337" s="1" t="s">
        <v>188</v>
      </c>
      <c r="D337" s="1" t="s">
        <v>0</v>
      </c>
      <c r="E337" s="1" t="s">
        <v>14</v>
      </c>
      <c r="F337" s="2" t="s">
        <v>0</v>
      </c>
      <c r="G337" s="17" t="s">
        <v>1769</v>
      </c>
    </row>
    <row r="338" spans="1:7" ht="43.5" x14ac:dyDescent="0.25">
      <c r="A338" s="2" t="str">
        <f>"0000381U"</f>
        <v>0000381U</v>
      </c>
      <c r="B338" s="2" t="str">
        <f>"  "</f>
        <v xml:space="preserve">  </v>
      </c>
      <c r="C338" s="1" t="s">
        <v>189</v>
      </c>
      <c r="D338" s="1" t="s">
        <v>0</v>
      </c>
      <c r="E338" s="1" t="s">
        <v>14</v>
      </c>
      <c r="F338" s="2" t="s">
        <v>0</v>
      </c>
      <c r="G338" s="17" t="s">
        <v>1769</v>
      </c>
    </row>
    <row r="339" spans="1:7" ht="43.5" x14ac:dyDescent="0.25">
      <c r="A339" s="2" t="str">
        <f>"0000381U"</f>
        <v>0000381U</v>
      </c>
      <c r="B339" s="2" t="str">
        <f>"90"</f>
        <v>90</v>
      </c>
      <c r="C339" s="1" t="s">
        <v>189</v>
      </c>
      <c r="D339" s="1" t="s">
        <v>0</v>
      </c>
      <c r="E339" s="1" t="s">
        <v>14</v>
      </c>
      <c r="F339" s="2" t="s">
        <v>0</v>
      </c>
      <c r="G339" s="17" t="s">
        <v>1769</v>
      </c>
    </row>
    <row r="340" spans="1:7" ht="43.5" x14ac:dyDescent="0.25">
      <c r="A340" s="2" t="str">
        <f>"0000382U"</f>
        <v>0000382U</v>
      </c>
      <c r="B340" s="2" t="str">
        <f>"  "</f>
        <v xml:space="preserve">  </v>
      </c>
      <c r="C340" s="1" t="s">
        <v>190</v>
      </c>
      <c r="D340" s="1" t="s">
        <v>0</v>
      </c>
      <c r="E340" s="1" t="s">
        <v>14</v>
      </c>
      <c r="F340" s="2" t="s">
        <v>0</v>
      </c>
      <c r="G340" s="17" t="s">
        <v>1769</v>
      </c>
    </row>
    <row r="341" spans="1:7" ht="43.5" x14ac:dyDescent="0.25">
      <c r="A341" s="2" t="str">
        <f>"0000382U"</f>
        <v>0000382U</v>
      </c>
      <c r="B341" s="2" t="str">
        <f>"90"</f>
        <v>90</v>
      </c>
      <c r="C341" s="1" t="s">
        <v>190</v>
      </c>
      <c r="D341" s="1" t="s">
        <v>0</v>
      </c>
      <c r="E341" s="1" t="s">
        <v>14</v>
      </c>
      <c r="F341" s="2" t="s">
        <v>0</v>
      </c>
      <c r="G341" s="17" t="s">
        <v>1769</v>
      </c>
    </row>
    <row r="342" spans="1:7" ht="43.5" x14ac:dyDescent="0.25">
      <c r="A342" s="2" t="str">
        <f>"0000383U"</f>
        <v>0000383U</v>
      </c>
      <c r="B342" s="2" t="str">
        <f>"  "</f>
        <v xml:space="preserve">  </v>
      </c>
      <c r="C342" s="1" t="s">
        <v>191</v>
      </c>
      <c r="D342" s="1" t="s">
        <v>0</v>
      </c>
      <c r="E342" s="1" t="s">
        <v>14</v>
      </c>
      <c r="F342" s="2" t="s">
        <v>0</v>
      </c>
      <c r="G342" s="17" t="s">
        <v>1769</v>
      </c>
    </row>
    <row r="343" spans="1:7" ht="43.5" x14ac:dyDescent="0.25">
      <c r="A343" s="2" t="str">
        <f>"0000383U"</f>
        <v>0000383U</v>
      </c>
      <c r="B343" s="2" t="str">
        <f>"90"</f>
        <v>90</v>
      </c>
      <c r="C343" s="1" t="s">
        <v>191</v>
      </c>
      <c r="D343" s="1" t="s">
        <v>0</v>
      </c>
      <c r="E343" s="1" t="s">
        <v>14</v>
      </c>
      <c r="F343" s="2" t="s">
        <v>0</v>
      </c>
      <c r="G343" s="17" t="s">
        <v>1769</v>
      </c>
    </row>
    <row r="344" spans="1:7" ht="43.5" x14ac:dyDescent="0.25">
      <c r="A344" s="2" t="str">
        <f>"0000384U"</f>
        <v>0000384U</v>
      </c>
      <c r="B344" s="2" t="str">
        <f>"  "</f>
        <v xml:space="preserve">  </v>
      </c>
      <c r="C344" s="1" t="s">
        <v>192</v>
      </c>
      <c r="D344" s="1" t="s">
        <v>0</v>
      </c>
      <c r="E344" s="1" t="s">
        <v>14</v>
      </c>
      <c r="F344" s="2" t="s">
        <v>0</v>
      </c>
      <c r="G344" s="17" t="s">
        <v>1769</v>
      </c>
    </row>
    <row r="345" spans="1:7" ht="43.5" x14ac:dyDescent="0.25">
      <c r="A345" s="2" t="str">
        <f>"0000384U"</f>
        <v>0000384U</v>
      </c>
      <c r="B345" s="2" t="str">
        <f>"90"</f>
        <v>90</v>
      </c>
      <c r="C345" s="1" t="s">
        <v>192</v>
      </c>
      <c r="D345" s="1" t="s">
        <v>0</v>
      </c>
      <c r="E345" s="1" t="s">
        <v>14</v>
      </c>
      <c r="F345" s="2" t="s">
        <v>0</v>
      </c>
      <c r="G345" s="17" t="s">
        <v>1769</v>
      </c>
    </row>
    <row r="346" spans="1:7" ht="43.5" x14ac:dyDescent="0.25">
      <c r="A346" s="2" t="str">
        <f>"0000385U"</f>
        <v>0000385U</v>
      </c>
      <c r="B346" s="2" t="str">
        <f>"  "</f>
        <v xml:space="preserve">  </v>
      </c>
      <c r="C346" s="1" t="s">
        <v>193</v>
      </c>
      <c r="D346" s="1" t="s">
        <v>0</v>
      </c>
      <c r="E346" s="1" t="s">
        <v>14</v>
      </c>
      <c r="F346" s="2" t="s">
        <v>0</v>
      </c>
      <c r="G346" s="17" t="s">
        <v>1769</v>
      </c>
    </row>
    <row r="347" spans="1:7" ht="43.5" x14ac:dyDescent="0.25">
      <c r="A347" s="2" t="str">
        <f>"0000385U"</f>
        <v>0000385U</v>
      </c>
      <c r="B347" s="2" t="str">
        <f>"90"</f>
        <v>90</v>
      </c>
      <c r="C347" s="1" t="s">
        <v>193</v>
      </c>
      <c r="D347" s="1" t="s">
        <v>0</v>
      </c>
      <c r="E347" s="1" t="s">
        <v>14</v>
      </c>
      <c r="F347" s="2" t="s">
        <v>0</v>
      </c>
      <c r="G347" s="17" t="s">
        <v>1769</v>
      </c>
    </row>
    <row r="348" spans="1:7" ht="43.5" x14ac:dyDescent="0.25">
      <c r="A348" s="2" t="str">
        <f>"0000386U"</f>
        <v>0000386U</v>
      </c>
      <c r="B348" s="2" t="str">
        <f>"  "</f>
        <v xml:space="preserve">  </v>
      </c>
      <c r="C348" s="1" t="s">
        <v>194</v>
      </c>
      <c r="D348" s="1" t="s">
        <v>0</v>
      </c>
      <c r="E348" s="1" t="s">
        <v>10</v>
      </c>
      <c r="F348" s="2" t="s">
        <v>0</v>
      </c>
      <c r="G348" s="17" t="s">
        <v>1768</v>
      </c>
    </row>
    <row r="349" spans="1:7" ht="43.5" x14ac:dyDescent="0.25">
      <c r="A349" s="2" t="str">
        <f>"0000386U"</f>
        <v>0000386U</v>
      </c>
      <c r="B349" s="2" t="str">
        <f t="shared" ref="B349:B364" si="3">"90"</f>
        <v>90</v>
      </c>
      <c r="C349" s="1" t="s">
        <v>194</v>
      </c>
      <c r="D349" s="1" t="s">
        <v>0</v>
      </c>
      <c r="E349" s="1" t="s">
        <v>10</v>
      </c>
      <c r="F349" s="2" t="s">
        <v>0</v>
      </c>
      <c r="G349" s="17" t="s">
        <v>1768</v>
      </c>
    </row>
    <row r="350" spans="1:7" ht="43.5" x14ac:dyDescent="0.25">
      <c r="A350" s="2" t="str">
        <f>"0000387U"</f>
        <v>0000387U</v>
      </c>
      <c r="B350" s="2" t="str">
        <f t="shared" si="3"/>
        <v>90</v>
      </c>
      <c r="C350" s="1" t="s">
        <v>195</v>
      </c>
      <c r="D350" s="1" t="s">
        <v>0</v>
      </c>
      <c r="E350" s="1" t="s">
        <v>14</v>
      </c>
      <c r="F350" s="2" t="s">
        <v>0</v>
      </c>
      <c r="G350" s="17" t="s">
        <v>1769</v>
      </c>
    </row>
    <row r="351" spans="1:7" ht="43.5" x14ac:dyDescent="0.25">
      <c r="A351" s="2" t="str">
        <f>"0000388U"</f>
        <v>0000388U</v>
      </c>
      <c r="B351" s="2" t="str">
        <f t="shared" si="3"/>
        <v>90</v>
      </c>
      <c r="C351" s="1" t="s">
        <v>196</v>
      </c>
      <c r="D351" s="1" t="s">
        <v>0</v>
      </c>
      <c r="E351" s="1" t="s">
        <v>14</v>
      </c>
      <c r="F351" s="2" t="s">
        <v>0</v>
      </c>
      <c r="G351" s="17" t="s">
        <v>1769</v>
      </c>
    </row>
    <row r="352" spans="1:7" ht="43.5" x14ac:dyDescent="0.25">
      <c r="A352" s="2" t="str">
        <f>"0000389U"</f>
        <v>0000389U</v>
      </c>
      <c r="B352" s="2" t="str">
        <f t="shared" si="3"/>
        <v>90</v>
      </c>
      <c r="C352" s="1" t="s">
        <v>197</v>
      </c>
      <c r="D352" s="1" t="s">
        <v>0</v>
      </c>
      <c r="E352" s="1" t="s">
        <v>14</v>
      </c>
      <c r="F352" s="2" t="s">
        <v>0</v>
      </c>
      <c r="G352" s="17" t="s">
        <v>1769</v>
      </c>
    </row>
    <row r="353" spans="1:7" ht="43.5" x14ac:dyDescent="0.25">
      <c r="A353" s="2" t="str">
        <f>"0000390U"</f>
        <v>0000390U</v>
      </c>
      <c r="B353" s="2" t="str">
        <f t="shared" si="3"/>
        <v>90</v>
      </c>
      <c r="C353" s="1" t="s">
        <v>198</v>
      </c>
      <c r="D353" s="1" t="s">
        <v>0</v>
      </c>
      <c r="E353" s="1" t="s">
        <v>14</v>
      </c>
      <c r="F353" s="2" t="s">
        <v>0</v>
      </c>
      <c r="G353" s="17" t="s">
        <v>1769</v>
      </c>
    </row>
    <row r="354" spans="1:7" ht="43.5" x14ac:dyDescent="0.25">
      <c r="A354" s="2" t="str">
        <f>"0000391U"</f>
        <v>0000391U</v>
      </c>
      <c r="B354" s="2" t="str">
        <f t="shared" si="3"/>
        <v>90</v>
      </c>
      <c r="C354" s="1" t="s">
        <v>199</v>
      </c>
      <c r="D354" s="1" t="s">
        <v>0</v>
      </c>
      <c r="E354" s="1" t="s">
        <v>14</v>
      </c>
      <c r="F354" s="2" t="s">
        <v>0</v>
      </c>
      <c r="G354" s="17" t="s">
        <v>1769</v>
      </c>
    </row>
    <row r="355" spans="1:7" ht="43.5" x14ac:dyDescent="0.25">
      <c r="A355" s="2" t="str">
        <f>"0000392U"</f>
        <v>0000392U</v>
      </c>
      <c r="B355" s="2" t="str">
        <f t="shared" si="3"/>
        <v>90</v>
      </c>
      <c r="C355" s="1" t="s">
        <v>200</v>
      </c>
      <c r="D355" s="1" t="s">
        <v>0</v>
      </c>
      <c r="E355" s="1" t="s">
        <v>14</v>
      </c>
      <c r="F355" s="2" t="s">
        <v>0</v>
      </c>
      <c r="G355" s="17" t="s">
        <v>1769</v>
      </c>
    </row>
    <row r="356" spans="1:7" ht="43.5" x14ac:dyDescent="0.25">
      <c r="A356" s="2" t="str">
        <f>"0000393U"</f>
        <v>0000393U</v>
      </c>
      <c r="B356" s="2" t="str">
        <f t="shared" si="3"/>
        <v>90</v>
      </c>
      <c r="C356" s="1" t="s">
        <v>201</v>
      </c>
      <c r="D356" s="1" t="s">
        <v>0</v>
      </c>
      <c r="E356" s="1" t="s">
        <v>14</v>
      </c>
      <c r="F356" s="2" t="s">
        <v>0</v>
      </c>
      <c r="G356" s="17" t="s">
        <v>1769</v>
      </c>
    </row>
    <row r="357" spans="1:7" ht="43.5" x14ac:dyDescent="0.25">
      <c r="A357" s="2" t="str">
        <f>"0000394U"</f>
        <v>0000394U</v>
      </c>
      <c r="B357" s="2" t="str">
        <f t="shared" si="3"/>
        <v>90</v>
      </c>
      <c r="C357" s="1" t="s">
        <v>202</v>
      </c>
      <c r="D357" s="1" t="s">
        <v>0</v>
      </c>
      <c r="E357" s="1" t="s">
        <v>14</v>
      </c>
      <c r="F357" s="2" t="s">
        <v>0</v>
      </c>
      <c r="G357" s="17" t="s">
        <v>1769</v>
      </c>
    </row>
    <row r="358" spans="1:7" ht="43.5" x14ac:dyDescent="0.25">
      <c r="A358" s="2" t="str">
        <f>"0000395U"</f>
        <v>0000395U</v>
      </c>
      <c r="B358" s="2" t="str">
        <f t="shared" si="3"/>
        <v>90</v>
      </c>
      <c r="C358" s="1" t="s">
        <v>203</v>
      </c>
      <c r="D358" s="1" t="s">
        <v>0</v>
      </c>
      <c r="E358" s="1" t="s">
        <v>14</v>
      </c>
      <c r="F358" s="2" t="s">
        <v>0</v>
      </c>
      <c r="G358" s="17" t="s">
        <v>1769</v>
      </c>
    </row>
    <row r="359" spans="1:7" ht="43.5" x14ac:dyDescent="0.25">
      <c r="A359" s="2" t="str">
        <f>"0000396U"</f>
        <v>0000396U</v>
      </c>
      <c r="B359" s="2" t="str">
        <f t="shared" si="3"/>
        <v>90</v>
      </c>
      <c r="C359" s="1" t="s">
        <v>204</v>
      </c>
      <c r="D359" s="1" t="s">
        <v>0</v>
      </c>
      <c r="E359" s="1" t="s">
        <v>14</v>
      </c>
      <c r="F359" s="2" t="s">
        <v>0</v>
      </c>
      <c r="G359" s="17" t="s">
        <v>1769</v>
      </c>
    </row>
    <row r="360" spans="1:7" ht="43.5" x14ac:dyDescent="0.25">
      <c r="A360" s="2" t="str">
        <f>"0000397U"</f>
        <v>0000397U</v>
      </c>
      <c r="B360" s="2" t="str">
        <f t="shared" si="3"/>
        <v>90</v>
      </c>
      <c r="C360" s="1" t="s">
        <v>205</v>
      </c>
      <c r="D360" s="1" t="s">
        <v>0</v>
      </c>
      <c r="E360" s="1" t="s">
        <v>10</v>
      </c>
      <c r="F360" s="2" t="s">
        <v>0</v>
      </c>
      <c r="G360" s="17" t="s">
        <v>1768</v>
      </c>
    </row>
    <row r="361" spans="1:7" ht="43.5" x14ac:dyDescent="0.25">
      <c r="A361" s="2" t="str">
        <f>"0000398U"</f>
        <v>0000398U</v>
      </c>
      <c r="B361" s="2" t="str">
        <f t="shared" si="3"/>
        <v>90</v>
      </c>
      <c r="C361" s="1" t="s">
        <v>206</v>
      </c>
      <c r="D361" s="1" t="s">
        <v>0</v>
      </c>
      <c r="E361" s="1" t="s">
        <v>14</v>
      </c>
      <c r="F361" s="2" t="s">
        <v>0</v>
      </c>
      <c r="G361" s="17" t="s">
        <v>1769</v>
      </c>
    </row>
    <row r="362" spans="1:7" ht="43.5" x14ac:dyDescent="0.25">
      <c r="A362" s="2" t="str">
        <f>"0000399U"</f>
        <v>0000399U</v>
      </c>
      <c r="B362" s="2" t="str">
        <f t="shared" si="3"/>
        <v>90</v>
      </c>
      <c r="C362" s="1" t="s">
        <v>207</v>
      </c>
      <c r="D362" s="1" t="s">
        <v>0</v>
      </c>
      <c r="E362" s="1" t="s">
        <v>14</v>
      </c>
      <c r="F362" s="2" t="s">
        <v>0</v>
      </c>
      <c r="G362" s="17" t="s">
        <v>1769</v>
      </c>
    </row>
    <row r="363" spans="1:7" ht="43.5" x14ac:dyDescent="0.25">
      <c r="A363" s="2" t="str">
        <f>"0000400U"</f>
        <v>0000400U</v>
      </c>
      <c r="B363" s="2" t="str">
        <f t="shared" si="3"/>
        <v>90</v>
      </c>
      <c r="C363" s="1" t="s">
        <v>208</v>
      </c>
      <c r="D363" s="1" t="s">
        <v>0</v>
      </c>
      <c r="E363" s="1" t="s">
        <v>14</v>
      </c>
      <c r="F363" s="2" t="s">
        <v>0</v>
      </c>
      <c r="G363" s="17" t="s">
        <v>1769</v>
      </c>
    </row>
    <row r="364" spans="1:7" ht="43.5" x14ac:dyDescent="0.25">
      <c r="A364" s="2" t="str">
        <f>"0000401U"</f>
        <v>0000401U</v>
      </c>
      <c r="B364" s="2" t="str">
        <f t="shared" si="3"/>
        <v>90</v>
      </c>
      <c r="C364" s="1" t="s">
        <v>209</v>
      </c>
      <c r="D364" s="1" t="s">
        <v>0</v>
      </c>
      <c r="E364" s="1" t="s">
        <v>14</v>
      </c>
      <c r="F364" s="2" t="s">
        <v>0</v>
      </c>
      <c r="G364" s="17" t="s">
        <v>1769</v>
      </c>
    </row>
    <row r="365" spans="1:7" ht="43.5" x14ac:dyDescent="0.25">
      <c r="A365" s="2" t="str">
        <f>"0000402U"</f>
        <v>0000402U</v>
      </c>
      <c r="B365" s="2" t="str">
        <f>"  "</f>
        <v xml:space="preserve">  </v>
      </c>
      <c r="C365" s="1" t="s">
        <v>210</v>
      </c>
      <c r="D365" s="1" t="s">
        <v>0</v>
      </c>
      <c r="E365" s="1" t="s">
        <v>14</v>
      </c>
      <c r="F365" s="2" t="s">
        <v>0</v>
      </c>
      <c r="G365" s="17" t="s">
        <v>1769</v>
      </c>
    </row>
    <row r="366" spans="1:7" ht="43.5" x14ac:dyDescent="0.25">
      <c r="A366" s="2" t="str">
        <f>"0000402U"</f>
        <v>0000402U</v>
      </c>
      <c r="B366" s="2" t="str">
        <f>"90"</f>
        <v>90</v>
      </c>
      <c r="C366" s="1" t="s">
        <v>210</v>
      </c>
      <c r="D366" s="1" t="s">
        <v>0</v>
      </c>
      <c r="E366" s="1" t="s">
        <v>14</v>
      </c>
      <c r="F366" s="2" t="s">
        <v>0</v>
      </c>
      <c r="G366" s="17" t="s">
        <v>1769</v>
      </c>
    </row>
    <row r="367" spans="1:7" ht="43.5" x14ac:dyDescent="0.25">
      <c r="A367" s="2" t="str">
        <f>"0000420U"</f>
        <v>0000420U</v>
      </c>
      <c r="B367" s="2" t="str">
        <f>"  "</f>
        <v xml:space="preserve">  </v>
      </c>
      <c r="C367" s="1" t="s">
        <v>211</v>
      </c>
      <c r="D367" s="1" t="s">
        <v>0</v>
      </c>
      <c r="E367" s="1" t="s">
        <v>14</v>
      </c>
      <c r="F367" s="2" t="s">
        <v>0</v>
      </c>
      <c r="G367" s="17" t="s">
        <v>1769</v>
      </c>
    </row>
    <row r="368" spans="1:7" ht="43.5" x14ac:dyDescent="0.25">
      <c r="A368" s="2" t="str">
        <f>"0000420U"</f>
        <v>0000420U</v>
      </c>
      <c r="B368" s="2" t="str">
        <f>"90"</f>
        <v>90</v>
      </c>
      <c r="C368" s="1" t="s">
        <v>211</v>
      </c>
      <c r="D368" s="1" t="s">
        <v>0</v>
      </c>
      <c r="E368" s="1" t="s">
        <v>14</v>
      </c>
      <c r="F368" s="2" t="s">
        <v>0</v>
      </c>
      <c r="G368" s="17" t="s">
        <v>1769</v>
      </c>
    </row>
    <row r="369" spans="1:7" ht="43.5" x14ac:dyDescent="0.25">
      <c r="A369" s="2" t="str">
        <f>"0000421U"</f>
        <v>0000421U</v>
      </c>
      <c r="B369" s="2" t="str">
        <f>"  "</f>
        <v xml:space="preserve">  </v>
      </c>
      <c r="C369" s="1" t="s">
        <v>212</v>
      </c>
      <c r="D369" s="1" t="s">
        <v>0</v>
      </c>
      <c r="E369" s="1" t="s">
        <v>14</v>
      </c>
      <c r="F369" s="2" t="s">
        <v>0</v>
      </c>
      <c r="G369" s="17" t="s">
        <v>1769</v>
      </c>
    </row>
    <row r="370" spans="1:7" ht="43.5" x14ac:dyDescent="0.25">
      <c r="A370" s="2" t="str">
        <f>"0000421U"</f>
        <v>0000421U</v>
      </c>
      <c r="B370" s="2" t="str">
        <f>"90"</f>
        <v>90</v>
      </c>
      <c r="C370" s="1" t="s">
        <v>212</v>
      </c>
      <c r="D370" s="1" t="s">
        <v>0</v>
      </c>
      <c r="E370" s="1" t="s">
        <v>14</v>
      </c>
      <c r="F370" s="2" t="s">
        <v>0</v>
      </c>
      <c r="G370" s="17" t="s">
        <v>1769</v>
      </c>
    </row>
    <row r="371" spans="1:7" ht="43.5" x14ac:dyDescent="0.25">
      <c r="A371" s="2" t="str">
        <f>"0000422U"</f>
        <v>0000422U</v>
      </c>
      <c r="B371" s="2" t="str">
        <f>"  "</f>
        <v xml:space="preserve">  </v>
      </c>
      <c r="C371" s="1" t="s">
        <v>213</v>
      </c>
      <c r="D371" s="1" t="s">
        <v>0</v>
      </c>
      <c r="E371" s="1" t="s">
        <v>14</v>
      </c>
      <c r="F371" s="2" t="s">
        <v>0</v>
      </c>
      <c r="G371" s="17" t="s">
        <v>1769</v>
      </c>
    </row>
    <row r="372" spans="1:7" ht="43.5" x14ac:dyDescent="0.25">
      <c r="A372" s="2" t="str">
        <f>"0000422U"</f>
        <v>0000422U</v>
      </c>
      <c r="B372" s="2" t="str">
        <f>"90"</f>
        <v>90</v>
      </c>
      <c r="C372" s="1" t="s">
        <v>213</v>
      </c>
      <c r="D372" s="1" t="s">
        <v>0</v>
      </c>
      <c r="E372" s="1" t="s">
        <v>14</v>
      </c>
      <c r="F372" s="2" t="s">
        <v>0</v>
      </c>
      <c r="G372" s="17" t="s">
        <v>1769</v>
      </c>
    </row>
    <row r="373" spans="1:7" ht="43.5" x14ac:dyDescent="0.25">
      <c r="A373" s="2" t="str">
        <f>"0000423U"</f>
        <v>0000423U</v>
      </c>
      <c r="B373" s="2" t="str">
        <f>"  "</f>
        <v xml:space="preserve">  </v>
      </c>
      <c r="C373" s="1" t="s">
        <v>214</v>
      </c>
      <c r="D373" s="1" t="s">
        <v>0</v>
      </c>
      <c r="E373" s="1" t="s">
        <v>14</v>
      </c>
      <c r="F373" s="2" t="s">
        <v>0</v>
      </c>
      <c r="G373" s="17" t="s">
        <v>1769</v>
      </c>
    </row>
    <row r="374" spans="1:7" ht="43.5" x14ac:dyDescent="0.25">
      <c r="A374" s="2" t="str">
        <f>"0000423U"</f>
        <v>0000423U</v>
      </c>
      <c r="B374" s="2" t="str">
        <f>"90"</f>
        <v>90</v>
      </c>
      <c r="C374" s="1" t="s">
        <v>214</v>
      </c>
      <c r="D374" s="1" t="s">
        <v>0</v>
      </c>
      <c r="E374" s="1" t="s">
        <v>14</v>
      </c>
      <c r="F374" s="2" t="s">
        <v>0</v>
      </c>
      <c r="G374" s="17" t="s">
        <v>1769</v>
      </c>
    </row>
    <row r="375" spans="1:7" ht="43.5" x14ac:dyDescent="0.25">
      <c r="A375" s="2" t="str">
        <f>"0000424U"</f>
        <v>0000424U</v>
      </c>
      <c r="B375" s="2" t="str">
        <f>"  "</f>
        <v xml:space="preserve">  </v>
      </c>
      <c r="C375" s="1" t="s">
        <v>215</v>
      </c>
      <c r="D375" s="1" t="s">
        <v>0</v>
      </c>
      <c r="E375" s="1" t="s">
        <v>14</v>
      </c>
      <c r="F375" s="2" t="s">
        <v>0</v>
      </c>
      <c r="G375" s="17" t="s">
        <v>1769</v>
      </c>
    </row>
    <row r="376" spans="1:7" ht="43.5" x14ac:dyDescent="0.25">
      <c r="A376" s="2" t="str">
        <f>"0000424U"</f>
        <v>0000424U</v>
      </c>
      <c r="B376" s="2" t="str">
        <f>"90"</f>
        <v>90</v>
      </c>
      <c r="C376" s="1" t="s">
        <v>215</v>
      </c>
      <c r="D376" s="1" t="s">
        <v>0</v>
      </c>
      <c r="E376" s="1" t="s">
        <v>14</v>
      </c>
      <c r="F376" s="2" t="s">
        <v>0</v>
      </c>
      <c r="G376" s="17" t="s">
        <v>1769</v>
      </c>
    </row>
    <row r="377" spans="1:7" ht="43.5" x14ac:dyDescent="0.25">
      <c r="A377" s="2" t="str">
        <f>"0000425U"</f>
        <v>0000425U</v>
      </c>
      <c r="B377" s="2" t="str">
        <f>"  "</f>
        <v xml:space="preserve">  </v>
      </c>
      <c r="C377" s="1" t="s">
        <v>216</v>
      </c>
      <c r="D377" s="1" t="s">
        <v>0</v>
      </c>
      <c r="E377" s="1" t="s">
        <v>14</v>
      </c>
      <c r="F377" s="2" t="s">
        <v>0</v>
      </c>
      <c r="G377" s="17" t="s">
        <v>1769</v>
      </c>
    </row>
    <row r="378" spans="1:7" ht="43.5" x14ac:dyDescent="0.25">
      <c r="A378" s="2" t="str">
        <f>"0000425U"</f>
        <v>0000425U</v>
      </c>
      <c r="B378" s="2" t="str">
        <f>"90"</f>
        <v>90</v>
      </c>
      <c r="C378" s="1" t="s">
        <v>216</v>
      </c>
      <c r="D378" s="1" t="s">
        <v>0</v>
      </c>
      <c r="E378" s="1" t="s">
        <v>14</v>
      </c>
      <c r="F378" s="2" t="s">
        <v>0</v>
      </c>
      <c r="G378" s="17" t="s">
        <v>1769</v>
      </c>
    </row>
    <row r="379" spans="1:7" ht="43.5" x14ac:dyDescent="0.25">
      <c r="A379" s="2" t="str">
        <f>"0000426U"</f>
        <v>0000426U</v>
      </c>
      <c r="B379" s="2" t="str">
        <f>"  "</f>
        <v xml:space="preserve">  </v>
      </c>
      <c r="C379" s="1" t="s">
        <v>217</v>
      </c>
      <c r="D379" s="1" t="s">
        <v>0</v>
      </c>
      <c r="E379" s="1" t="s">
        <v>14</v>
      </c>
      <c r="F379" s="2" t="s">
        <v>0</v>
      </c>
      <c r="G379" s="17" t="s">
        <v>1769</v>
      </c>
    </row>
    <row r="380" spans="1:7" ht="43.5" x14ac:dyDescent="0.25">
      <c r="A380" s="2" t="str">
        <f>"0000426U"</f>
        <v>0000426U</v>
      </c>
      <c r="B380" s="2" t="str">
        <f>"90"</f>
        <v>90</v>
      </c>
      <c r="C380" s="1" t="s">
        <v>217</v>
      </c>
      <c r="D380" s="1" t="s">
        <v>0</v>
      </c>
      <c r="E380" s="1" t="s">
        <v>14</v>
      </c>
      <c r="F380" s="2" t="s">
        <v>0</v>
      </c>
      <c r="G380" s="17" t="s">
        <v>1769</v>
      </c>
    </row>
    <row r="381" spans="1:7" ht="43.5" x14ac:dyDescent="0.25">
      <c r="A381" s="2" t="str">
        <f>"0000427U"</f>
        <v>0000427U</v>
      </c>
      <c r="B381" s="2" t="str">
        <f>"  "</f>
        <v xml:space="preserve">  </v>
      </c>
      <c r="C381" s="1" t="s">
        <v>218</v>
      </c>
      <c r="D381" s="1" t="s">
        <v>0</v>
      </c>
      <c r="E381" s="1" t="s">
        <v>14</v>
      </c>
      <c r="F381" s="2" t="s">
        <v>0</v>
      </c>
      <c r="G381" s="17" t="s">
        <v>1769</v>
      </c>
    </row>
    <row r="382" spans="1:7" ht="43.5" x14ac:dyDescent="0.25">
      <c r="A382" s="2" t="str">
        <f>"0000427U"</f>
        <v>0000427U</v>
      </c>
      <c r="B382" s="2" t="str">
        <f>"90"</f>
        <v>90</v>
      </c>
      <c r="C382" s="1" t="s">
        <v>218</v>
      </c>
      <c r="D382" s="1" t="s">
        <v>0</v>
      </c>
      <c r="E382" s="1" t="s">
        <v>14</v>
      </c>
      <c r="F382" s="2" t="s">
        <v>0</v>
      </c>
      <c r="G382" s="17" t="s">
        <v>1769</v>
      </c>
    </row>
    <row r="383" spans="1:7" ht="43.5" x14ac:dyDescent="0.25">
      <c r="A383" s="2" t="str">
        <f>"0000428U"</f>
        <v>0000428U</v>
      </c>
      <c r="B383" s="2" t="str">
        <f>"  "</f>
        <v xml:space="preserve">  </v>
      </c>
      <c r="C383" s="1" t="s">
        <v>219</v>
      </c>
      <c r="D383" s="1" t="s">
        <v>0</v>
      </c>
      <c r="E383" s="1" t="s">
        <v>14</v>
      </c>
      <c r="F383" s="2" t="s">
        <v>0</v>
      </c>
      <c r="G383" s="17" t="s">
        <v>1769</v>
      </c>
    </row>
    <row r="384" spans="1:7" ht="43.5" x14ac:dyDescent="0.25">
      <c r="A384" s="2" t="str">
        <f>"0000428U"</f>
        <v>0000428U</v>
      </c>
      <c r="B384" s="2" t="str">
        <f>"90"</f>
        <v>90</v>
      </c>
      <c r="C384" s="1" t="s">
        <v>219</v>
      </c>
      <c r="D384" s="1" t="s">
        <v>0</v>
      </c>
      <c r="E384" s="1" t="s">
        <v>14</v>
      </c>
      <c r="F384" s="2" t="s">
        <v>0</v>
      </c>
      <c r="G384" s="17" t="s">
        <v>1769</v>
      </c>
    </row>
    <row r="385" spans="1:7" ht="43.5" x14ac:dyDescent="0.25">
      <c r="A385" s="2" t="str">
        <f>"0000429U"</f>
        <v>0000429U</v>
      </c>
      <c r="B385" s="2" t="str">
        <f>"  "</f>
        <v xml:space="preserve">  </v>
      </c>
      <c r="C385" s="1" t="s">
        <v>220</v>
      </c>
      <c r="D385" s="1" t="s">
        <v>0</v>
      </c>
      <c r="E385" s="1" t="s">
        <v>14</v>
      </c>
      <c r="F385" s="2" t="s">
        <v>0</v>
      </c>
      <c r="G385" s="17" t="s">
        <v>1769</v>
      </c>
    </row>
    <row r="386" spans="1:7" ht="43.5" x14ac:dyDescent="0.25">
      <c r="A386" s="2" t="str">
        <f>"0000429U"</f>
        <v>0000429U</v>
      </c>
      <c r="B386" s="2" t="str">
        <f>"90"</f>
        <v>90</v>
      </c>
      <c r="C386" s="1" t="s">
        <v>220</v>
      </c>
      <c r="D386" s="1" t="s">
        <v>0</v>
      </c>
      <c r="E386" s="1" t="s">
        <v>14</v>
      </c>
      <c r="F386" s="2" t="s">
        <v>0</v>
      </c>
      <c r="G386" s="17" t="s">
        <v>1769</v>
      </c>
    </row>
    <row r="387" spans="1:7" ht="57.75" x14ac:dyDescent="0.25">
      <c r="A387" s="2" t="str">
        <f>"0000430U"</f>
        <v>0000430U</v>
      </c>
      <c r="B387" s="2" t="str">
        <f>"  "</f>
        <v xml:space="preserve">  </v>
      </c>
      <c r="C387" s="1" t="s">
        <v>221</v>
      </c>
      <c r="D387" s="1" t="s">
        <v>0</v>
      </c>
      <c r="E387" s="1" t="s">
        <v>14</v>
      </c>
      <c r="F387" s="2" t="s">
        <v>0</v>
      </c>
      <c r="G387" s="17" t="s">
        <v>1769</v>
      </c>
    </row>
    <row r="388" spans="1:7" ht="57.75" x14ac:dyDescent="0.25">
      <c r="A388" s="2" t="str">
        <f>"0000430U"</f>
        <v>0000430U</v>
      </c>
      <c r="B388" s="2" t="str">
        <f>"90"</f>
        <v>90</v>
      </c>
      <c r="C388" s="1" t="s">
        <v>221</v>
      </c>
      <c r="D388" s="1" t="s">
        <v>0</v>
      </c>
      <c r="E388" s="1" t="s">
        <v>14</v>
      </c>
      <c r="F388" s="2" t="s">
        <v>0</v>
      </c>
      <c r="G388" s="17" t="s">
        <v>1769</v>
      </c>
    </row>
    <row r="389" spans="1:7" ht="43.5" x14ac:dyDescent="0.25">
      <c r="A389" s="2" t="str">
        <f>"0000431U"</f>
        <v>0000431U</v>
      </c>
      <c r="B389" s="2" t="str">
        <f>"  "</f>
        <v xml:space="preserve">  </v>
      </c>
      <c r="C389" s="1" t="s">
        <v>222</v>
      </c>
      <c r="D389" s="1" t="s">
        <v>0</v>
      </c>
      <c r="E389" s="1" t="s">
        <v>14</v>
      </c>
      <c r="F389" s="2" t="s">
        <v>0</v>
      </c>
      <c r="G389" s="17" t="s">
        <v>1769</v>
      </c>
    </row>
    <row r="390" spans="1:7" ht="43.5" x14ac:dyDescent="0.25">
      <c r="A390" s="2" t="str">
        <f>"0000431U"</f>
        <v>0000431U</v>
      </c>
      <c r="B390" s="2" t="str">
        <f>"90"</f>
        <v>90</v>
      </c>
      <c r="C390" s="1" t="s">
        <v>222</v>
      </c>
      <c r="D390" s="1" t="s">
        <v>0</v>
      </c>
      <c r="E390" s="1" t="s">
        <v>14</v>
      </c>
      <c r="F390" s="2" t="s">
        <v>0</v>
      </c>
      <c r="G390" s="17" t="s">
        <v>1769</v>
      </c>
    </row>
    <row r="391" spans="1:7" ht="43.5" x14ac:dyDescent="0.25">
      <c r="A391" s="2" t="str">
        <f>"0000432U"</f>
        <v>0000432U</v>
      </c>
      <c r="B391" s="2" t="str">
        <f>"  "</f>
        <v xml:space="preserve">  </v>
      </c>
      <c r="C391" s="1" t="s">
        <v>223</v>
      </c>
      <c r="D391" s="1" t="s">
        <v>0</v>
      </c>
      <c r="E391" s="1" t="s">
        <v>14</v>
      </c>
      <c r="F391" s="2" t="s">
        <v>0</v>
      </c>
      <c r="G391" s="17" t="s">
        <v>1769</v>
      </c>
    </row>
    <row r="392" spans="1:7" ht="43.5" x14ac:dyDescent="0.25">
      <c r="A392" s="2" t="str">
        <f>"0000432U"</f>
        <v>0000432U</v>
      </c>
      <c r="B392" s="2" t="str">
        <f>"90"</f>
        <v>90</v>
      </c>
      <c r="C392" s="1" t="s">
        <v>223</v>
      </c>
      <c r="D392" s="1" t="s">
        <v>0</v>
      </c>
      <c r="E392" s="1" t="s">
        <v>14</v>
      </c>
      <c r="F392" s="2" t="s">
        <v>0</v>
      </c>
      <c r="G392" s="17" t="s">
        <v>1769</v>
      </c>
    </row>
    <row r="393" spans="1:7" ht="43.5" x14ac:dyDescent="0.25">
      <c r="A393" s="2" t="str">
        <f>"0000433U"</f>
        <v>0000433U</v>
      </c>
      <c r="B393" s="2" t="str">
        <f>"  "</f>
        <v xml:space="preserve">  </v>
      </c>
      <c r="C393" s="1" t="s">
        <v>224</v>
      </c>
      <c r="D393" s="1" t="s">
        <v>0</v>
      </c>
      <c r="E393" s="1" t="s">
        <v>14</v>
      </c>
      <c r="F393" s="2" t="s">
        <v>0</v>
      </c>
      <c r="G393" s="17" t="s">
        <v>1769</v>
      </c>
    </row>
    <row r="394" spans="1:7" ht="43.5" x14ac:dyDescent="0.25">
      <c r="A394" s="2" t="str">
        <f>"0000433U"</f>
        <v>0000433U</v>
      </c>
      <c r="B394" s="2" t="str">
        <f>"90"</f>
        <v>90</v>
      </c>
      <c r="C394" s="1" t="s">
        <v>224</v>
      </c>
      <c r="D394" s="1" t="s">
        <v>0</v>
      </c>
      <c r="E394" s="1" t="s">
        <v>14</v>
      </c>
      <c r="F394" s="2" t="s">
        <v>0</v>
      </c>
      <c r="G394" s="17" t="s">
        <v>1769</v>
      </c>
    </row>
    <row r="395" spans="1:7" ht="57.75" x14ac:dyDescent="0.25">
      <c r="A395" s="2" t="str">
        <f>"0000434U"</f>
        <v>0000434U</v>
      </c>
      <c r="B395" s="2" t="str">
        <f>"  "</f>
        <v xml:space="preserve">  </v>
      </c>
      <c r="C395" s="1" t="s">
        <v>225</v>
      </c>
      <c r="D395" s="1" t="s">
        <v>0</v>
      </c>
      <c r="E395" s="1" t="s">
        <v>14</v>
      </c>
      <c r="F395" s="2" t="s">
        <v>0</v>
      </c>
      <c r="G395" s="17" t="s">
        <v>1769</v>
      </c>
    </row>
    <row r="396" spans="1:7" ht="57.75" x14ac:dyDescent="0.25">
      <c r="A396" s="2" t="str">
        <f>"0000434U"</f>
        <v>0000434U</v>
      </c>
      <c r="B396" s="2" t="str">
        <f>"90"</f>
        <v>90</v>
      </c>
      <c r="C396" s="1" t="s">
        <v>225</v>
      </c>
      <c r="D396" s="1" t="s">
        <v>0</v>
      </c>
      <c r="E396" s="1" t="s">
        <v>14</v>
      </c>
      <c r="F396" s="2" t="s">
        <v>0</v>
      </c>
      <c r="G396" s="17" t="s">
        <v>1769</v>
      </c>
    </row>
    <row r="397" spans="1:7" ht="43.5" x14ac:dyDescent="0.25">
      <c r="A397" s="2" t="str">
        <f>"0000435U"</f>
        <v>0000435U</v>
      </c>
      <c r="B397" s="2" t="str">
        <f>"  "</f>
        <v xml:space="preserve">  </v>
      </c>
      <c r="C397" s="1" t="s">
        <v>226</v>
      </c>
      <c r="D397" s="1" t="s">
        <v>0</v>
      </c>
      <c r="E397" s="1" t="s">
        <v>14</v>
      </c>
      <c r="F397" s="2" t="s">
        <v>0</v>
      </c>
      <c r="G397" s="17" t="s">
        <v>1769</v>
      </c>
    </row>
    <row r="398" spans="1:7" ht="43.5" x14ac:dyDescent="0.25">
      <c r="A398" s="2" t="str">
        <f>"0000435U"</f>
        <v>0000435U</v>
      </c>
      <c r="B398" s="2" t="str">
        <f>"90"</f>
        <v>90</v>
      </c>
      <c r="C398" s="1" t="s">
        <v>226</v>
      </c>
      <c r="D398" s="1" t="s">
        <v>0</v>
      </c>
      <c r="E398" s="1" t="s">
        <v>14</v>
      </c>
      <c r="F398" s="2" t="s">
        <v>0</v>
      </c>
      <c r="G398" s="17" t="s">
        <v>1769</v>
      </c>
    </row>
    <row r="399" spans="1:7" ht="43.5" x14ac:dyDescent="0.25">
      <c r="A399" s="2" t="str">
        <f>"0000436U"</f>
        <v>0000436U</v>
      </c>
      <c r="B399" s="2" t="str">
        <f>"  "</f>
        <v xml:space="preserve">  </v>
      </c>
      <c r="C399" s="1" t="s">
        <v>227</v>
      </c>
      <c r="D399" s="1" t="s">
        <v>0</v>
      </c>
      <c r="E399" s="1" t="s">
        <v>14</v>
      </c>
      <c r="F399" s="2" t="s">
        <v>0</v>
      </c>
      <c r="G399" s="17" t="s">
        <v>1769</v>
      </c>
    </row>
    <row r="400" spans="1:7" ht="43.5" x14ac:dyDescent="0.25">
      <c r="A400" s="2" t="str">
        <f>"0000436U"</f>
        <v>0000436U</v>
      </c>
      <c r="B400" s="2" t="str">
        <f>"90"</f>
        <v>90</v>
      </c>
      <c r="C400" s="1" t="s">
        <v>227</v>
      </c>
      <c r="D400" s="1" t="s">
        <v>0</v>
      </c>
      <c r="E400" s="1" t="s">
        <v>14</v>
      </c>
      <c r="F400" s="2" t="s">
        <v>0</v>
      </c>
      <c r="G400" s="17" t="s">
        <v>1769</v>
      </c>
    </row>
    <row r="401" spans="1:7" ht="43.5" x14ac:dyDescent="0.25">
      <c r="A401" s="2" t="str">
        <f>"0000437U"</f>
        <v>0000437U</v>
      </c>
      <c r="B401" s="2" t="str">
        <f>"  "</f>
        <v xml:space="preserve">  </v>
      </c>
      <c r="C401" s="1" t="s">
        <v>228</v>
      </c>
      <c r="D401" s="1" t="s">
        <v>0</v>
      </c>
      <c r="E401" s="1" t="s">
        <v>14</v>
      </c>
      <c r="F401" s="2" t="s">
        <v>0</v>
      </c>
      <c r="G401" s="17" t="s">
        <v>1769</v>
      </c>
    </row>
    <row r="402" spans="1:7" ht="43.5" x14ac:dyDescent="0.25">
      <c r="A402" s="2" t="str">
        <f>"0000437U"</f>
        <v>0000437U</v>
      </c>
      <c r="B402" s="2" t="str">
        <f>"90"</f>
        <v>90</v>
      </c>
      <c r="C402" s="1" t="s">
        <v>228</v>
      </c>
      <c r="D402" s="1" t="s">
        <v>0</v>
      </c>
      <c r="E402" s="1" t="s">
        <v>14</v>
      </c>
      <c r="F402" s="2" t="s">
        <v>0</v>
      </c>
      <c r="G402" s="17" t="s">
        <v>1769</v>
      </c>
    </row>
    <row r="403" spans="1:7" ht="57.75" x14ac:dyDescent="0.25">
      <c r="A403" s="2" t="str">
        <f>"0000438U"</f>
        <v>0000438U</v>
      </c>
      <c r="B403" s="2" t="str">
        <f>"  "</f>
        <v xml:space="preserve">  </v>
      </c>
      <c r="C403" s="1" t="s">
        <v>229</v>
      </c>
      <c r="D403" s="1" t="s">
        <v>0</v>
      </c>
      <c r="E403" s="1" t="s">
        <v>14</v>
      </c>
      <c r="F403" s="2" t="s">
        <v>0</v>
      </c>
      <c r="G403" s="17" t="s">
        <v>1769</v>
      </c>
    </row>
    <row r="404" spans="1:7" ht="57.75" x14ac:dyDescent="0.25">
      <c r="A404" s="2" t="str">
        <f>"0000438U"</f>
        <v>0000438U</v>
      </c>
      <c r="B404" s="2" t="str">
        <f>"90"</f>
        <v>90</v>
      </c>
      <c r="C404" s="1" t="s">
        <v>229</v>
      </c>
      <c r="D404" s="1" t="s">
        <v>0</v>
      </c>
      <c r="E404" s="1" t="s">
        <v>14</v>
      </c>
      <c r="F404" s="2" t="s">
        <v>0</v>
      </c>
      <c r="G404" s="17" t="s">
        <v>1769</v>
      </c>
    </row>
    <row r="405" spans="1:7" ht="29.25" x14ac:dyDescent="0.25">
      <c r="A405" s="2" t="str">
        <f>"00036415"</f>
        <v>00036415</v>
      </c>
      <c r="B405" s="2" t="str">
        <f>"  "</f>
        <v xml:space="preserve">  </v>
      </c>
      <c r="C405" s="1" t="s">
        <v>230</v>
      </c>
      <c r="D405" s="1" t="s">
        <v>0</v>
      </c>
      <c r="E405" s="1" t="s">
        <v>12</v>
      </c>
      <c r="F405" s="2" t="s">
        <v>0</v>
      </c>
      <c r="G405" s="3">
        <v>8.83</v>
      </c>
    </row>
    <row r="406" spans="1:7" ht="57.75" x14ac:dyDescent="0.25">
      <c r="A406" s="2" t="str">
        <f>"00057426"</f>
        <v>00057426</v>
      </c>
      <c r="B406" s="2" t="str">
        <f>"  "</f>
        <v xml:space="preserve">  </v>
      </c>
      <c r="C406" s="1" t="s">
        <v>231</v>
      </c>
      <c r="D406" s="1" t="s">
        <v>0</v>
      </c>
      <c r="E406" s="1" t="s">
        <v>12</v>
      </c>
      <c r="F406" s="2" t="s">
        <v>0</v>
      </c>
      <c r="G406" s="3">
        <v>864.5</v>
      </c>
    </row>
    <row r="407" spans="1:7" ht="43.5" x14ac:dyDescent="0.25">
      <c r="A407" s="2" t="str">
        <f>"00078267"</f>
        <v>00078267</v>
      </c>
      <c r="B407" s="2" t="str">
        <f>"  "</f>
        <v xml:space="preserve">  </v>
      </c>
      <c r="C407" s="1" t="s">
        <v>232</v>
      </c>
      <c r="D407" s="1" t="s">
        <v>0</v>
      </c>
      <c r="E407" s="1" t="s">
        <v>12</v>
      </c>
      <c r="F407" s="2" t="s">
        <v>0</v>
      </c>
      <c r="G407" s="3">
        <v>11.06</v>
      </c>
    </row>
    <row r="408" spans="1:7" ht="29.25" x14ac:dyDescent="0.25">
      <c r="A408" s="2" t="str">
        <f>"00078268"</f>
        <v>00078268</v>
      </c>
      <c r="B408" s="2" t="str">
        <f>"  "</f>
        <v xml:space="preserve">  </v>
      </c>
      <c r="C408" s="1" t="s">
        <v>233</v>
      </c>
      <c r="D408" s="1" t="s">
        <v>0</v>
      </c>
      <c r="E408" s="1" t="s">
        <v>12</v>
      </c>
      <c r="F408" s="2" t="s">
        <v>0</v>
      </c>
      <c r="G408" s="3">
        <v>94.41</v>
      </c>
    </row>
    <row r="409" spans="1:7" ht="29.25" x14ac:dyDescent="0.25">
      <c r="A409" s="2" t="str">
        <f>"00080047"</f>
        <v>00080047</v>
      </c>
      <c r="B409" s="2" t="str">
        <f>"  "</f>
        <v xml:space="preserve">  </v>
      </c>
      <c r="C409" s="1" t="s">
        <v>234</v>
      </c>
      <c r="D409" s="1" t="s">
        <v>0</v>
      </c>
      <c r="E409" s="1" t="s">
        <v>12</v>
      </c>
      <c r="F409" s="2" t="s">
        <v>0</v>
      </c>
      <c r="G409" s="3">
        <v>13.73</v>
      </c>
    </row>
    <row r="410" spans="1:7" ht="29.25" x14ac:dyDescent="0.25">
      <c r="A410" s="2" t="str">
        <f>"00080047"</f>
        <v>00080047</v>
      </c>
      <c r="B410" s="2" t="str">
        <f>"QW"</f>
        <v>QW</v>
      </c>
      <c r="C410" s="1" t="s">
        <v>234</v>
      </c>
      <c r="D410" s="1" t="s">
        <v>0</v>
      </c>
      <c r="E410" s="1" t="s">
        <v>12</v>
      </c>
      <c r="F410" s="2" t="s">
        <v>0</v>
      </c>
      <c r="G410" s="3">
        <v>13.73</v>
      </c>
    </row>
    <row r="411" spans="1:7" ht="29.25" x14ac:dyDescent="0.25">
      <c r="A411" s="2" t="str">
        <f>"00080048"</f>
        <v>00080048</v>
      </c>
      <c r="B411" s="2" t="str">
        <f>"  "</f>
        <v xml:space="preserve">  </v>
      </c>
      <c r="C411" s="1" t="s">
        <v>235</v>
      </c>
      <c r="D411" s="1" t="s">
        <v>0</v>
      </c>
      <c r="E411" s="1" t="s">
        <v>12</v>
      </c>
      <c r="F411" s="2" t="s">
        <v>0</v>
      </c>
      <c r="G411" s="3">
        <v>8.4600000000000009</v>
      </c>
    </row>
    <row r="412" spans="1:7" ht="29.25" x14ac:dyDescent="0.25">
      <c r="A412" s="2" t="str">
        <f>"00080048"</f>
        <v>00080048</v>
      </c>
      <c r="B412" s="2" t="str">
        <f>"QW"</f>
        <v>QW</v>
      </c>
      <c r="C412" s="1" t="s">
        <v>236</v>
      </c>
      <c r="D412" s="1" t="s">
        <v>0</v>
      </c>
      <c r="E412" s="1" t="s">
        <v>12</v>
      </c>
      <c r="F412" s="2" t="s">
        <v>0</v>
      </c>
      <c r="G412" s="3">
        <v>8.4600000000000009</v>
      </c>
    </row>
    <row r="413" spans="1:7" x14ac:dyDescent="0.25">
      <c r="A413" s="2" t="str">
        <f>"00080050"</f>
        <v>00080050</v>
      </c>
      <c r="B413" s="2" t="str">
        <f>"  "</f>
        <v xml:space="preserve">  </v>
      </c>
      <c r="C413" s="1" t="s">
        <v>237</v>
      </c>
      <c r="D413" s="1" t="s">
        <v>0</v>
      </c>
      <c r="E413" s="1" t="s">
        <v>12</v>
      </c>
      <c r="F413" s="2" t="s">
        <v>0</v>
      </c>
      <c r="G413" s="3">
        <v>43.62</v>
      </c>
    </row>
    <row r="414" spans="1:7" x14ac:dyDescent="0.25">
      <c r="A414" s="2" t="str">
        <f>"00080051"</f>
        <v>00080051</v>
      </c>
      <c r="B414" s="2" t="str">
        <f>"  "</f>
        <v xml:space="preserve">  </v>
      </c>
      <c r="C414" s="1" t="s">
        <v>238</v>
      </c>
      <c r="D414" s="1" t="s">
        <v>0</v>
      </c>
      <c r="E414" s="1" t="s">
        <v>12</v>
      </c>
      <c r="F414" s="2" t="s">
        <v>0</v>
      </c>
      <c r="G414" s="3">
        <v>7.01</v>
      </c>
    </row>
    <row r="415" spans="1:7" x14ac:dyDescent="0.25">
      <c r="A415" s="2" t="str">
        <f>"00080051"</f>
        <v>00080051</v>
      </c>
      <c r="B415" s="2" t="str">
        <f>"QW"</f>
        <v>QW</v>
      </c>
      <c r="C415" s="1" t="s">
        <v>239</v>
      </c>
      <c r="D415" s="1" t="s">
        <v>0</v>
      </c>
      <c r="E415" s="1" t="s">
        <v>12</v>
      </c>
      <c r="F415" s="2" t="s">
        <v>0</v>
      </c>
      <c r="G415" s="3">
        <v>7.01</v>
      </c>
    </row>
    <row r="416" spans="1:7" ht="29.25" x14ac:dyDescent="0.25">
      <c r="A416" s="2" t="str">
        <f>"00080053"</f>
        <v>00080053</v>
      </c>
      <c r="B416" s="2" t="str">
        <f>"  "</f>
        <v xml:space="preserve">  </v>
      </c>
      <c r="C416" s="1" t="s">
        <v>240</v>
      </c>
      <c r="D416" s="1" t="s">
        <v>0</v>
      </c>
      <c r="E416" s="1" t="s">
        <v>12</v>
      </c>
      <c r="F416" s="2" t="s">
        <v>0</v>
      </c>
      <c r="G416" s="3">
        <v>10.56</v>
      </c>
    </row>
    <row r="417" spans="1:7" ht="29.25" x14ac:dyDescent="0.25">
      <c r="A417" s="2" t="str">
        <f>"00080053"</f>
        <v>00080053</v>
      </c>
      <c r="B417" s="2" t="str">
        <f>"QW"</f>
        <v>QW</v>
      </c>
      <c r="C417" s="1" t="s">
        <v>240</v>
      </c>
      <c r="D417" s="1" t="s">
        <v>0</v>
      </c>
      <c r="E417" s="1" t="s">
        <v>12</v>
      </c>
      <c r="F417" s="2" t="s">
        <v>0</v>
      </c>
      <c r="G417" s="3">
        <v>10.56</v>
      </c>
    </row>
    <row r="418" spans="1:7" x14ac:dyDescent="0.25">
      <c r="A418" s="2" t="str">
        <f>"00080055"</f>
        <v>00080055</v>
      </c>
      <c r="B418" s="2" t="str">
        <f>"  "</f>
        <v xml:space="preserve">  </v>
      </c>
      <c r="C418" s="1" t="s">
        <v>241</v>
      </c>
      <c r="D418" s="1" t="s">
        <v>0</v>
      </c>
      <c r="E418" s="1" t="s">
        <v>12</v>
      </c>
      <c r="F418" s="2" t="s">
        <v>0</v>
      </c>
      <c r="G418" s="3">
        <v>47.81</v>
      </c>
    </row>
    <row r="419" spans="1:7" x14ac:dyDescent="0.25">
      <c r="A419" s="2" t="str">
        <f>"00080061"</f>
        <v>00080061</v>
      </c>
      <c r="B419" s="2" t="str">
        <f>"  "</f>
        <v xml:space="preserve">  </v>
      </c>
      <c r="C419" s="1" t="s">
        <v>242</v>
      </c>
      <c r="D419" s="1" t="s">
        <v>0</v>
      </c>
      <c r="E419" s="1" t="s">
        <v>12</v>
      </c>
      <c r="F419" s="2" t="s">
        <v>0</v>
      </c>
      <c r="G419" s="3">
        <v>13.39</v>
      </c>
    </row>
    <row r="420" spans="1:7" ht="29.25" x14ac:dyDescent="0.25">
      <c r="A420" s="2" t="str">
        <f>"00080061"</f>
        <v>00080061</v>
      </c>
      <c r="B420" s="2" t="str">
        <f>"QW"</f>
        <v>QW</v>
      </c>
      <c r="C420" s="1" t="s">
        <v>243</v>
      </c>
      <c r="D420" s="1" t="s">
        <v>0</v>
      </c>
      <c r="E420" s="1" t="s">
        <v>12</v>
      </c>
      <c r="F420" s="2" t="s">
        <v>0</v>
      </c>
      <c r="G420" s="3">
        <v>13.39</v>
      </c>
    </row>
    <row r="421" spans="1:7" x14ac:dyDescent="0.25">
      <c r="A421" s="2" t="str">
        <f>"00080069"</f>
        <v>00080069</v>
      </c>
      <c r="B421" s="2" t="str">
        <f>"  "</f>
        <v xml:space="preserve">  </v>
      </c>
      <c r="C421" s="1" t="s">
        <v>244</v>
      </c>
      <c r="D421" s="1" t="s">
        <v>0</v>
      </c>
      <c r="E421" s="1" t="s">
        <v>12</v>
      </c>
      <c r="F421" s="2" t="s">
        <v>0</v>
      </c>
      <c r="G421" s="3">
        <v>8.68</v>
      </c>
    </row>
    <row r="422" spans="1:7" x14ac:dyDescent="0.25">
      <c r="A422" s="2" t="str">
        <f>"00080069"</f>
        <v>00080069</v>
      </c>
      <c r="B422" s="2" t="str">
        <f>"QW"</f>
        <v>QW</v>
      </c>
      <c r="C422" s="1" t="s">
        <v>245</v>
      </c>
      <c r="D422" s="1" t="s">
        <v>0</v>
      </c>
      <c r="E422" s="1" t="s">
        <v>12</v>
      </c>
      <c r="F422" s="2" t="s">
        <v>0</v>
      </c>
      <c r="G422" s="3">
        <v>8.68</v>
      </c>
    </row>
    <row r="423" spans="1:7" x14ac:dyDescent="0.25">
      <c r="A423" s="2" t="str">
        <f>"00080074"</f>
        <v>00080074</v>
      </c>
      <c r="B423" s="2" t="str">
        <f>"  "</f>
        <v xml:space="preserve">  </v>
      </c>
      <c r="C423" s="1" t="s">
        <v>246</v>
      </c>
      <c r="D423" s="1" t="s">
        <v>0</v>
      </c>
      <c r="E423" s="1" t="s">
        <v>12</v>
      </c>
      <c r="F423" s="2" t="s">
        <v>0</v>
      </c>
      <c r="G423" s="3">
        <v>47.63</v>
      </c>
    </row>
    <row r="424" spans="1:7" x14ac:dyDescent="0.25">
      <c r="A424" s="2" t="str">
        <f>"00080076"</f>
        <v>00080076</v>
      </c>
      <c r="B424" s="2" t="str">
        <f>"  "</f>
        <v xml:space="preserve">  </v>
      </c>
      <c r="C424" s="1" t="s">
        <v>247</v>
      </c>
      <c r="D424" s="1" t="s">
        <v>0</v>
      </c>
      <c r="E424" s="1" t="s">
        <v>12</v>
      </c>
      <c r="F424" s="2" t="s">
        <v>0</v>
      </c>
      <c r="G424" s="3">
        <v>8.17</v>
      </c>
    </row>
    <row r="425" spans="1:7" ht="100.5" x14ac:dyDescent="0.25">
      <c r="A425" s="2" t="str">
        <f>"00080081"</f>
        <v>00080081</v>
      </c>
      <c r="B425" s="2" t="str">
        <f>"  "</f>
        <v xml:space="preserve">  </v>
      </c>
      <c r="C425" s="1" t="s">
        <v>248</v>
      </c>
      <c r="D425" s="1" t="s">
        <v>0</v>
      </c>
      <c r="E425" s="1" t="s">
        <v>12</v>
      </c>
      <c r="F425" s="2" t="s">
        <v>0</v>
      </c>
      <c r="G425" s="3">
        <v>74.86</v>
      </c>
    </row>
    <row r="426" spans="1:7" ht="29.25" x14ac:dyDescent="0.25">
      <c r="A426" s="2" t="str">
        <f>"00080143"</f>
        <v>00080143</v>
      </c>
      <c r="B426" s="2" t="str">
        <f>"  "</f>
        <v xml:space="preserve">  </v>
      </c>
      <c r="C426" s="1" t="s">
        <v>249</v>
      </c>
      <c r="D426" s="1" t="s">
        <v>0</v>
      </c>
      <c r="E426" s="1" t="s">
        <v>12</v>
      </c>
      <c r="F426" s="2" t="s">
        <v>0</v>
      </c>
      <c r="G426" s="3">
        <v>18.64</v>
      </c>
    </row>
    <row r="427" spans="1:7" ht="29.25" x14ac:dyDescent="0.25">
      <c r="A427" s="2" t="str">
        <f>"00080143"</f>
        <v>00080143</v>
      </c>
      <c r="B427" s="2" t="str">
        <f>"90"</f>
        <v>90</v>
      </c>
      <c r="C427" s="1" t="s">
        <v>249</v>
      </c>
      <c r="D427" s="1" t="s">
        <v>0</v>
      </c>
      <c r="E427" s="1" t="s">
        <v>14</v>
      </c>
      <c r="F427" s="2" t="s">
        <v>0</v>
      </c>
      <c r="G427" s="17" t="s">
        <v>1769</v>
      </c>
    </row>
    <row r="428" spans="1:7" ht="29.25" x14ac:dyDescent="0.25">
      <c r="A428" s="2" t="str">
        <f>"00080145"</f>
        <v>00080145</v>
      </c>
      <c r="B428" s="2" t="str">
        <f>"  "</f>
        <v xml:space="preserve">  </v>
      </c>
      <c r="C428" s="1" t="s">
        <v>250</v>
      </c>
      <c r="D428" s="1" t="s">
        <v>0</v>
      </c>
      <c r="E428" s="1" t="s">
        <v>12</v>
      </c>
      <c r="F428" s="2" t="s">
        <v>0</v>
      </c>
      <c r="G428" s="3">
        <v>38.57</v>
      </c>
    </row>
    <row r="429" spans="1:7" x14ac:dyDescent="0.25">
      <c r="A429" s="2" t="str">
        <f>"00080150"</f>
        <v>00080150</v>
      </c>
      <c r="B429" s="2" t="str">
        <f>"  "</f>
        <v xml:space="preserve">  </v>
      </c>
      <c r="C429" s="1" t="s">
        <v>251</v>
      </c>
      <c r="D429" s="1" t="s">
        <v>0</v>
      </c>
      <c r="E429" s="1" t="s">
        <v>12</v>
      </c>
      <c r="F429" s="2" t="s">
        <v>0</v>
      </c>
      <c r="G429" s="3">
        <v>15.08</v>
      </c>
    </row>
    <row r="430" spans="1:7" x14ac:dyDescent="0.25">
      <c r="A430" s="2" t="str">
        <f>"00080151"</f>
        <v>00080151</v>
      </c>
      <c r="B430" s="2" t="str">
        <f>"  "</f>
        <v xml:space="preserve">  </v>
      </c>
      <c r="C430" s="1" t="s">
        <v>252</v>
      </c>
      <c r="D430" s="1" t="s">
        <v>0</v>
      </c>
      <c r="E430" s="1" t="s">
        <v>12</v>
      </c>
      <c r="F430" s="2" t="s">
        <v>0</v>
      </c>
      <c r="G430" s="3">
        <v>18.64</v>
      </c>
    </row>
    <row r="431" spans="1:7" x14ac:dyDescent="0.25">
      <c r="A431" s="2" t="str">
        <f>"00080151"</f>
        <v>00080151</v>
      </c>
      <c r="B431" s="2" t="str">
        <f>"90"</f>
        <v>90</v>
      </c>
      <c r="C431" s="1" t="s">
        <v>252</v>
      </c>
      <c r="D431" s="1" t="s">
        <v>0</v>
      </c>
      <c r="E431" s="1" t="s">
        <v>14</v>
      </c>
      <c r="F431" s="2" t="s">
        <v>0</v>
      </c>
      <c r="G431" s="17" t="s">
        <v>1769</v>
      </c>
    </row>
    <row r="432" spans="1:7" x14ac:dyDescent="0.25">
      <c r="A432" s="2" t="str">
        <f>"00080155"</f>
        <v>00080155</v>
      </c>
      <c r="B432" s="2" t="str">
        <f t="shared" ref="B432:B437" si="4">"  "</f>
        <v xml:space="preserve">  </v>
      </c>
      <c r="C432" s="1" t="s">
        <v>253</v>
      </c>
      <c r="D432" s="1" t="s">
        <v>0</v>
      </c>
      <c r="E432" s="1" t="s">
        <v>12</v>
      </c>
      <c r="F432" s="2" t="s">
        <v>0</v>
      </c>
      <c r="G432" s="3">
        <v>38.57</v>
      </c>
    </row>
    <row r="433" spans="1:7" x14ac:dyDescent="0.25">
      <c r="A433" s="2" t="str">
        <f>"00080156"</f>
        <v>00080156</v>
      </c>
      <c r="B433" s="2" t="str">
        <f t="shared" si="4"/>
        <v xml:space="preserve">  </v>
      </c>
      <c r="C433" s="1" t="s">
        <v>254</v>
      </c>
      <c r="D433" s="1" t="s">
        <v>0</v>
      </c>
      <c r="E433" s="1" t="s">
        <v>12</v>
      </c>
      <c r="F433" s="2" t="s">
        <v>0</v>
      </c>
      <c r="G433" s="3">
        <v>14.57</v>
      </c>
    </row>
    <row r="434" spans="1:7" x14ac:dyDescent="0.25">
      <c r="A434" s="2" t="str">
        <f>"00080157"</f>
        <v>00080157</v>
      </c>
      <c r="B434" s="2" t="str">
        <f t="shared" si="4"/>
        <v xml:space="preserve">  </v>
      </c>
      <c r="C434" s="1" t="s">
        <v>255</v>
      </c>
      <c r="D434" s="1" t="s">
        <v>0</v>
      </c>
      <c r="E434" s="1" t="s">
        <v>12</v>
      </c>
      <c r="F434" s="2" t="s">
        <v>0</v>
      </c>
      <c r="G434" s="3">
        <v>13.25</v>
      </c>
    </row>
    <row r="435" spans="1:7" x14ac:dyDescent="0.25">
      <c r="A435" s="2" t="str">
        <f>"00080158"</f>
        <v>00080158</v>
      </c>
      <c r="B435" s="2" t="str">
        <f t="shared" si="4"/>
        <v xml:space="preserve">  </v>
      </c>
      <c r="C435" s="1" t="s">
        <v>256</v>
      </c>
      <c r="D435" s="1" t="s">
        <v>0</v>
      </c>
      <c r="E435" s="1" t="s">
        <v>12</v>
      </c>
      <c r="F435" s="2" t="s">
        <v>0</v>
      </c>
      <c r="G435" s="3">
        <v>18.05</v>
      </c>
    </row>
    <row r="436" spans="1:7" x14ac:dyDescent="0.25">
      <c r="A436" s="2" t="str">
        <f>"00080159"</f>
        <v>00080159</v>
      </c>
      <c r="B436" s="2" t="str">
        <f t="shared" si="4"/>
        <v xml:space="preserve">  </v>
      </c>
      <c r="C436" s="1" t="s">
        <v>257</v>
      </c>
      <c r="D436" s="1" t="s">
        <v>0</v>
      </c>
      <c r="E436" s="1" t="s">
        <v>12</v>
      </c>
      <c r="F436" s="2" t="s">
        <v>0</v>
      </c>
      <c r="G436" s="3">
        <v>20.149999999999999</v>
      </c>
    </row>
    <row r="437" spans="1:7" ht="29.25" x14ac:dyDescent="0.25">
      <c r="A437" s="2" t="str">
        <f>"00080161"</f>
        <v>00080161</v>
      </c>
      <c r="B437" s="2" t="str">
        <f t="shared" si="4"/>
        <v xml:space="preserve">  </v>
      </c>
      <c r="C437" s="1" t="s">
        <v>258</v>
      </c>
      <c r="D437" s="1" t="s">
        <v>0</v>
      </c>
      <c r="E437" s="1" t="s">
        <v>12</v>
      </c>
      <c r="F437" s="2" t="s">
        <v>0</v>
      </c>
      <c r="G437" s="3">
        <v>18.64</v>
      </c>
    </row>
    <row r="438" spans="1:7" ht="29.25" x14ac:dyDescent="0.25">
      <c r="A438" s="2" t="str">
        <f>"00080161"</f>
        <v>00080161</v>
      </c>
      <c r="B438" s="2" t="str">
        <f>"90"</f>
        <v>90</v>
      </c>
      <c r="C438" s="1" t="s">
        <v>258</v>
      </c>
      <c r="D438" s="1" t="s">
        <v>0</v>
      </c>
      <c r="E438" s="1" t="s">
        <v>14</v>
      </c>
      <c r="F438" s="2" t="s">
        <v>0</v>
      </c>
      <c r="G438" s="17" t="s">
        <v>1769</v>
      </c>
    </row>
    <row r="439" spans="1:7" x14ac:dyDescent="0.25">
      <c r="A439" s="2" t="str">
        <f>"00080162"</f>
        <v>00080162</v>
      </c>
      <c r="B439" s="2" t="str">
        <f>"  "</f>
        <v xml:space="preserve">  </v>
      </c>
      <c r="C439" s="1" t="s">
        <v>259</v>
      </c>
      <c r="D439" s="1" t="s">
        <v>0</v>
      </c>
      <c r="E439" s="1" t="s">
        <v>12</v>
      </c>
      <c r="F439" s="2" t="s">
        <v>0</v>
      </c>
      <c r="G439" s="3">
        <v>13.28</v>
      </c>
    </row>
    <row r="440" spans="1:7" x14ac:dyDescent="0.25">
      <c r="A440" s="2" t="str">
        <f>"00080163"</f>
        <v>00080163</v>
      </c>
      <c r="B440" s="2" t="str">
        <f>"  "</f>
        <v xml:space="preserve">  </v>
      </c>
      <c r="C440" s="1" t="s">
        <v>260</v>
      </c>
      <c r="D440" s="1" t="s">
        <v>0</v>
      </c>
      <c r="E440" s="1" t="s">
        <v>12</v>
      </c>
      <c r="F440" s="2" t="s">
        <v>0</v>
      </c>
      <c r="G440" s="3">
        <v>13.28</v>
      </c>
    </row>
    <row r="441" spans="1:7" ht="72" x14ac:dyDescent="0.25">
      <c r="A441" s="2" t="str">
        <f>"00080164"</f>
        <v>00080164</v>
      </c>
      <c r="B441" s="2" t="str">
        <f>"  "</f>
        <v xml:space="preserve">  </v>
      </c>
      <c r="C441" s="1" t="s">
        <v>261</v>
      </c>
      <c r="D441" s="1" t="s">
        <v>0</v>
      </c>
      <c r="E441" s="1" t="s">
        <v>12</v>
      </c>
      <c r="F441" s="2" t="s">
        <v>0</v>
      </c>
      <c r="G441" s="3">
        <v>13.54</v>
      </c>
    </row>
    <row r="442" spans="1:7" x14ac:dyDescent="0.25">
      <c r="A442" s="2" t="str">
        <f>"00080165"</f>
        <v>00080165</v>
      </c>
      <c r="B442" s="2" t="str">
        <f>"  "</f>
        <v xml:space="preserve">  </v>
      </c>
      <c r="C442" s="1" t="s">
        <v>262</v>
      </c>
      <c r="D442" s="1" t="s">
        <v>0</v>
      </c>
      <c r="E442" s="1" t="s">
        <v>12</v>
      </c>
      <c r="F442" s="2" t="s">
        <v>0</v>
      </c>
      <c r="G442" s="3">
        <v>13.54</v>
      </c>
    </row>
    <row r="443" spans="1:7" x14ac:dyDescent="0.25">
      <c r="A443" s="2" t="str">
        <f>"00080167"</f>
        <v>00080167</v>
      </c>
      <c r="B443" s="2" t="str">
        <f>"  "</f>
        <v xml:space="preserve">  </v>
      </c>
      <c r="C443" s="1" t="s">
        <v>263</v>
      </c>
      <c r="D443" s="1" t="s">
        <v>0</v>
      </c>
      <c r="E443" s="1" t="s">
        <v>12</v>
      </c>
      <c r="F443" s="2" t="s">
        <v>0</v>
      </c>
      <c r="G443" s="3">
        <v>18.64</v>
      </c>
    </row>
    <row r="444" spans="1:7" x14ac:dyDescent="0.25">
      <c r="A444" s="2" t="str">
        <f>"00080167"</f>
        <v>00080167</v>
      </c>
      <c r="B444" s="2" t="str">
        <f>"90"</f>
        <v>90</v>
      </c>
      <c r="C444" s="1" t="s">
        <v>263</v>
      </c>
      <c r="D444" s="1" t="s">
        <v>0</v>
      </c>
      <c r="E444" s="1" t="s">
        <v>14</v>
      </c>
      <c r="F444" s="2" t="s">
        <v>0</v>
      </c>
      <c r="G444" s="17" t="s">
        <v>1769</v>
      </c>
    </row>
    <row r="445" spans="1:7" x14ac:dyDescent="0.25">
      <c r="A445" s="2" t="str">
        <f>"00080168"</f>
        <v>00080168</v>
      </c>
      <c r="B445" s="2" t="str">
        <f t="shared" ref="B445:B453" si="5">"  "</f>
        <v xml:space="preserve">  </v>
      </c>
      <c r="C445" s="1" t="s">
        <v>264</v>
      </c>
      <c r="D445" s="1" t="s">
        <v>0</v>
      </c>
      <c r="E445" s="1" t="s">
        <v>12</v>
      </c>
      <c r="F445" s="2" t="s">
        <v>0</v>
      </c>
      <c r="G445" s="3">
        <v>16.34</v>
      </c>
    </row>
    <row r="446" spans="1:7" x14ac:dyDescent="0.25">
      <c r="A446" s="2" t="str">
        <f>"00080169"</f>
        <v>00080169</v>
      </c>
      <c r="B446" s="2" t="str">
        <f t="shared" si="5"/>
        <v xml:space="preserve">  </v>
      </c>
      <c r="C446" s="1" t="s">
        <v>265</v>
      </c>
      <c r="D446" s="1" t="s">
        <v>0</v>
      </c>
      <c r="E446" s="1" t="s">
        <v>12</v>
      </c>
      <c r="F446" s="2" t="s">
        <v>0</v>
      </c>
      <c r="G446" s="3">
        <v>13.73</v>
      </c>
    </row>
    <row r="447" spans="1:7" x14ac:dyDescent="0.25">
      <c r="A447" s="2" t="str">
        <f>"00080170"</f>
        <v>00080170</v>
      </c>
      <c r="B447" s="2" t="str">
        <f t="shared" si="5"/>
        <v xml:space="preserve">  </v>
      </c>
      <c r="C447" s="1" t="s">
        <v>266</v>
      </c>
      <c r="D447" s="1" t="s">
        <v>0</v>
      </c>
      <c r="E447" s="1" t="s">
        <v>12</v>
      </c>
      <c r="F447" s="2" t="s">
        <v>0</v>
      </c>
      <c r="G447" s="3">
        <v>16.38</v>
      </c>
    </row>
    <row r="448" spans="1:7" x14ac:dyDescent="0.25">
      <c r="A448" s="2" t="str">
        <f>"00080171"</f>
        <v>00080171</v>
      </c>
      <c r="B448" s="2" t="str">
        <f t="shared" si="5"/>
        <v xml:space="preserve">  </v>
      </c>
      <c r="C448" s="1" t="s">
        <v>267</v>
      </c>
      <c r="D448" s="1" t="s">
        <v>0</v>
      </c>
      <c r="E448" s="1" t="s">
        <v>12</v>
      </c>
      <c r="F448" s="2" t="s">
        <v>0</v>
      </c>
      <c r="G448" s="3">
        <v>21.67</v>
      </c>
    </row>
    <row r="449" spans="1:7" x14ac:dyDescent="0.25">
      <c r="A449" s="2" t="str">
        <f>"00080173"</f>
        <v>00080173</v>
      </c>
      <c r="B449" s="2" t="str">
        <f t="shared" si="5"/>
        <v xml:space="preserve">  </v>
      </c>
      <c r="C449" s="1" t="s">
        <v>268</v>
      </c>
      <c r="D449" s="1" t="s">
        <v>0</v>
      </c>
      <c r="E449" s="1" t="s">
        <v>12</v>
      </c>
      <c r="F449" s="2" t="s">
        <v>0</v>
      </c>
      <c r="G449" s="3">
        <v>15.78</v>
      </c>
    </row>
    <row r="450" spans="1:7" x14ac:dyDescent="0.25">
      <c r="A450" s="2" t="str">
        <f>"00080175"</f>
        <v>00080175</v>
      </c>
      <c r="B450" s="2" t="str">
        <f t="shared" si="5"/>
        <v xml:space="preserve">  </v>
      </c>
      <c r="C450" s="1" t="s">
        <v>269</v>
      </c>
      <c r="D450" s="1" t="s">
        <v>0</v>
      </c>
      <c r="E450" s="1" t="s">
        <v>12</v>
      </c>
      <c r="F450" s="2" t="s">
        <v>0</v>
      </c>
      <c r="G450" s="3">
        <v>13.25</v>
      </c>
    </row>
    <row r="451" spans="1:7" x14ac:dyDescent="0.25">
      <c r="A451" s="2" t="str">
        <f>"00080176"</f>
        <v>00080176</v>
      </c>
      <c r="B451" s="2" t="str">
        <f t="shared" si="5"/>
        <v xml:space="preserve">  </v>
      </c>
      <c r="C451" s="1" t="s">
        <v>270</v>
      </c>
      <c r="D451" s="1" t="s">
        <v>0</v>
      </c>
      <c r="E451" s="1" t="s">
        <v>12</v>
      </c>
      <c r="F451" s="2" t="s">
        <v>0</v>
      </c>
      <c r="G451" s="3">
        <v>14.69</v>
      </c>
    </row>
    <row r="452" spans="1:7" x14ac:dyDescent="0.25">
      <c r="A452" s="2" t="str">
        <f>"00080177"</f>
        <v>00080177</v>
      </c>
      <c r="B452" s="2" t="str">
        <f t="shared" si="5"/>
        <v xml:space="preserve">  </v>
      </c>
      <c r="C452" s="1" t="s">
        <v>271</v>
      </c>
      <c r="D452" s="1" t="s">
        <v>0</v>
      </c>
      <c r="E452" s="1" t="s">
        <v>12</v>
      </c>
      <c r="F452" s="2" t="s">
        <v>0</v>
      </c>
      <c r="G452" s="3">
        <v>13.25</v>
      </c>
    </row>
    <row r="453" spans="1:7" x14ac:dyDescent="0.25">
      <c r="A453" s="2" t="str">
        <f>"00080178"</f>
        <v>00080178</v>
      </c>
      <c r="B453" s="2" t="str">
        <f t="shared" si="5"/>
        <v xml:space="preserve">  </v>
      </c>
      <c r="C453" s="1" t="s">
        <v>272</v>
      </c>
      <c r="D453" s="1" t="s">
        <v>0</v>
      </c>
      <c r="E453" s="1" t="s">
        <v>12</v>
      </c>
      <c r="F453" s="2" t="s">
        <v>0</v>
      </c>
      <c r="G453" s="3">
        <v>6.61</v>
      </c>
    </row>
    <row r="454" spans="1:7" x14ac:dyDescent="0.25">
      <c r="A454" s="2" t="str">
        <f>"00080178"</f>
        <v>00080178</v>
      </c>
      <c r="B454" s="2" t="str">
        <f>"QW"</f>
        <v>QW</v>
      </c>
      <c r="C454" s="1" t="s">
        <v>273</v>
      </c>
      <c r="D454" s="1" t="s">
        <v>0</v>
      </c>
      <c r="E454" s="1" t="s">
        <v>12</v>
      </c>
      <c r="F454" s="2" t="s">
        <v>0</v>
      </c>
      <c r="G454" s="3">
        <v>6.61</v>
      </c>
    </row>
    <row r="455" spans="1:7" x14ac:dyDescent="0.25">
      <c r="A455" s="2" t="str">
        <f>"00080179"</f>
        <v>00080179</v>
      </c>
      <c r="B455" s="2" t="str">
        <f>"  "</f>
        <v xml:space="preserve">  </v>
      </c>
      <c r="C455" s="1" t="s">
        <v>274</v>
      </c>
      <c r="D455" s="1" t="s">
        <v>0</v>
      </c>
      <c r="E455" s="1" t="s">
        <v>12</v>
      </c>
      <c r="F455" s="2" t="s">
        <v>0</v>
      </c>
      <c r="G455" s="3">
        <v>18.64</v>
      </c>
    </row>
    <row r="456" spans="1:7" x14ac:dyDescent="0.25">
      <c r="A456" s="2" t="str">
        <f>"00080179"</f>
        <v>00080179</v>
      </c>
      <c r="B456" s="2" t="str">
        <f>"90"</f>
        <v>90</v>
      </c>
      <c r="C456" s="1" t="s">
        <v>274</v>
      </c>
      <c r="D456" s="1" t="s">
        <v>0</v>
      </c>
      <c r="E456" s="1" t="s">
        <v>14</v>
      </c>
      <c r="F456" s="2" t="s">
        <v>0</v>
      </c>
      <c r="G456" s="17" t="s">
        <v>1769</v>
      </c>
    </row>
    <row r="457" spans="1:7" ht="43.5" x14ac:dyDescent="0.25">
      <c r="A457" s="2" t="str">
        <f>"00080180"</f>
        <v>00080180</v>
      </c>
      <c r="B457" s="2" t="str">
        <f>"  "</f>
        <v xml:space="preserve">  </v>
      </c>
      <c r="C457" s="1" t="s">
        <v>275</v>
      </c>
      <c r="D457" s="1" t="s">
        <v>0</v>
      </c>
      <c r="E457" s="1" t="s">
        <v>12</v>
      </c>
      <c r="F457" s="2" t="s">
        <v>0</v>
      </c>
      <c r="G457" s="3">
        <v>18.05</v>
      </c>
    </row>
    <row r="458" spans="1:7" x14ac:dyDescent="0.25">
      <c r="A458" s="2" t="str">
        <f>"00080181"</f>
        <v>00080181</v>
      </c>
      <c r="B458" s="2" t="str">
        <f>"  "</f>
        <v xml:space="preserve">  </v>
      </c>
      <c r="C458" s="1" t="s">
        <v>276</v>
      </c>
      <c r="D458" s="1" t="s">
        <v>0</v>
      </c>
      <c r="E458" s="1" t="s">
        <v>12</v>
      </c>
      <c r="F458" s="2" t="s">
        <v>0</v>
      </c>
      <c r="G458" s="3">
        <v>18.64</v>
      </c>
    </row>
    <row r="459" spans="1:7" x14ac:dyDescent="0.25">
      <c r="A459" s="2" t="str">
        <f>"00080181"</f>
        <v>00080181</v>
      </c>
      <c r="B459" s="2" t="str">
        <f>"90"</f>
        <v>90</v>
      </c>
      <c r="C459" s="1" t="s">
        <v>276</v>
      </c>
      <c r="D459" s="1" t="s">
        <v>0</v>
      </c>
      <c r="E459" s="1" t="s">
        <v>14</v>
      </c>
      <c r="F459" s="2" t="s">
        <v>0</v>
      </c>
      <c r="G459" s="17" t="s">
        <v>1769</v>
      </c>
    </row>
    <row r="460" spans="1:7" x14ac:dyDescent="0.25">
      <c r="A460" s="2" t="str">
        <f>"00080183"</f>
        <v>00080183</v>
      </c>
      <c r="B460" s="2" t="str">
        <f t="shared" ref="B460:B466" si="6">"  "</f>
        <v xml:space="preserve">  </v>
      </c>
      <c r="C460" s="1" t="s">
        <v>277</v>
      </c>
      <c r="D460" s="1" t="s">
        <v>0</v>
      </c>
      <c r="E460" s="1" t="s">
        <v>12</v>
      </c>
      <c r="F460" s="2" t="s">
        <v>0</v>
      </c>
      <c r="G460" s="3">
        <v>13.25</v>
      </c>
    </row>
    <row r="461" spans="1:7" x14ac:dyDescent="0.25">
      <c r="A461" s="2" t="str">
        <f>"00080184"</f>
        <v>00080184</v>
      </c>
      <c r="B461" s="2" t="str">
        <f t="shared" si="6"/>
        <v xml:space="preserve">  </v>
      </c>
      <c r="C461" s="1" t="s">
        <v>278</v>
      </c>
      <c r="D461" s="1" t="s">
        <v>0</v>
      </c>
      <c r="E461" s="1" t="s">
        <v>12</v>
      </c>
      <c r="F461" s="2" t="s">
        <v>0</v>
      </c>
      <c r="G461" s="3">
        <v>15.3</v>
      </c>
    </row>
    <row r="462" spans="1:7" x14ac:dyDescent="0.25">
      <c r="A462" s="2" t="str">
        <f>"00080185"</f>
        <v>00080185</v>
      </c>
      <c r="B462" s="2" t="str">
        <f t="shared" si="6"/>
        <v xml:space="preserve">  </v>
      </c>
      <c r="C462" s="1" t="s">
        <v>279</v>
      </c>
      <c r="D462" s="1" t="s">
        <v>0</v>
      </c>
      <c r="E462" s="1" t="s">
        <v>12</v>
      </c>
      <c r="F462" s="2" t="s">
        <v>0</v>
      </c>
      <c r="G462" s="3">
        <v>13.25</v>
      </c>
    </row>
    <row r="463" spans="1:7" x14ac:dyDescent="0.25">
      <c r="A463" s="2" t="str">
        <f>"00080186"</f>
        <v>00080186</v>
      </c>
      <c r="B463" s="2" t="str">
        <f t="shared" si="6"/>
        <v xml:space="preserve">  </v>
      </c>
      <c r="C463" s="1" t="s">
        <v>280</v>
      </c>
      <c r="D463" s="1" t="s">
        <v>0</v>
      </c>
      <c r="E463" s="1" t="s">
        <v>12</v>
      </c>
      <c r="F463" s="2" t="s">
        <v>0</v>
      </c>
      <c r="G463" s="3">
        <v>13.76</v>
      </c>
    </row>
    <row r="464" spans="1:7" ht="29.25" x14ac:dyDescent="0.25">
      <c r="A464" s="2" t="str">
        <f>"00080187"</f>
        <v>00080187</v>
      </c>
      <c r="B464" s="2" t="str">
        <f t="shared" si="6"/>
        <v xml:space="preserve">  </v>
      </c>
      <c r="C464" s="1" t="s">
        <v>281</v>
      </c>
      <c r="D464" s="1" t="s">
        <v>0</v>
      </c>
      <c r="E464" s="1" t="s">
        <v>12</v>
      </c>
      <c r="F464" s="2" t="s">
        <v>0</v>
      </c>
      <c r="G464" s="3">
        <v>27.11</v>
      </c>
    </row>
    <row r="465" spans="1:7" x14ac:dyDescent="0.25">
      <c r="A465" s="2" t="str">
        <f>"00080188"</f>
        <v>00080188</v>
      </c>
      <c r="B465" s="2" t="str">
        <f t="shared" si="6"/>
        <v xml:space="preserve">  </v>
      </c>
      <c r="C465" s="1" t="s">
        <v>282</v>
      </c>
      <c r="D465" s="1" t="s">
        <v>0</v>
      </c>
      <c r="E465" s="1" t="s">
        <v>12</v>
      </c>
      <c r="F465" s="2" t="s">
        <v>0</v>
      </c>
      <c r="G465" s="3">
        <v>16.59</v>
      </c>
    </row>
    <row r="466" spans="1:7" x14ac:dyDescent="0.25">
      <c r="A466" s="2" t="str">
        <f>"00080189"</f>
        <v>00080189</v>
      </c>
      <c r="B466" s="2" t="str">
        <f t="shared" si="6"/>
        <v xml:space="preserve">  </v>
      </c>
      <c r="C466" s="1" t="s">
        <v>283</v>
      </c>
      <c r="D466" s="1" t="s">
        <v>0</v>
      </c>
      <c r="E466" s="1" t="s">
        <v>12</v>
      </c>
      <c r="F466" s="2" t="s">
        <v>0</v>
      </c>
      <c r="G466" s="3">
        <v>27.11</v>
      </c>
    </row>
    <row r="467" spans="1:7" x14ac:dyDescent="0.25">
      <c r="A467" s="2" t="str">
        <f>"00080189"</f>
        <v>00080189</v>
      </c>
      <c r="B467" s="2" t="str">
        <f>"90"</f>
        <v>90</v>
      </c>
      <c r="C467" s="1" t="s">
        <v>283</v>
      </c>
      <c r="D467" s="1" t="s">
        <v>0</v>
      </c>
      <c r="E467" s="1" t="s">
        <v>14</v>
      </c>
      <c r="F467" s="2" t="s">
        <v>0</v>
      </c>
      <c r="G467" s="17" t="s">
        <v>1769</v>
      </c>
    </row>
    <row r="468" spans="1:7" x14ac:dyDescent="0.25">
      <c r="A468" s="2" t="str">
        <f>"00080190"</f>
        <v>00080190</v>
      </c>
      <c r="B468" s="2" t="str">
        <f>"  "</f>
        <v xml:space="preserve">  </v>
      </c>
      <c r="C468" s="1" t="s">
        <v>284</v>
      </c>
      <c r="D468" s="1" t="s">
        <v>0</v>
      </c>
      <c r="E468" s="1" t="s">
        <v>12</v>
      </c>
      <c r="F468" s="2" t="s">
        <v>0</v>
      </c>
      <c r="G468" s="3">
        <v>60</v>
      </c>
    </row>
    <row r="469" spans="1:7" ht="43.5" x14ac:dyDescent="0.25">
      <c r="A469" s="2" t="str">
        <f>"00080192"</f>
        <v>00080192</v>
      </c>
      <c r="B469" s="2" t="str">
        <f>"  "</f>
        <v xml:space="preserve">  </v>
      </c>
      <c r="C469" s="1" t="s">
        <v>285</v>
      </c>
      <c r="D469" s="1" t="s">
        <v>0</v>
      </c>
      <c r="E469" s="1" t="s">
        <v>12</v>
      </c>
      <c r="F469" s="2" t="s">
        <v>0</v>
      </c>
      <c r="G469" s="3">
        <v>16.75</v>
      </c>
    </row>
    <row r="470" spans="1:7" x14ac:dyDescent="0.25">
      <c r="A470" s="2" t="str">
        <f>"00080193"</f>
        <v>00080193</v>
      </c>
      <c r="B470" s="2" t="str">
        <f>"  "</f>
        <v xml:space="preserve">  </v>
      </c>
      <c r="C470" s="1" t="s">
        <v>286</v>
      </c>
      <c r="D470" s="1" t="s">
        <v>0</v>
      </c>
      <c r="E470" s="1" t="s">
        <v>12</v>
      </c>
      <c r="F470" s="2" t="s">
        <v>0</v>
      </c>
      <c r="G470" s="3">
        <v>38.57</v>
      </c>
    </row>
    <row r="471" spans="1:7" x14ac:dyDescent="0.25">
      <c r="A471" s="2" t="str">
        <f>"00080193"</f>
        <v>00080193</v>
      </c>
      <c r="B471" s="2" t="str">
        <f>"90"</f>
        <v>90</v>
      </c>
      <c r="C471" s="1" t="s">
        <v>286</v>
      </c>
      <c r="D471" s="1" t="s">
        <v>0</v>
      </c>
      <c r="E471" s="1" t="s">
        <v>14</v>
      </c>
      <c r="F471" s="2" t="s">
        <v>0</v>
      </c>
      <c r="G471" s="17" t="s">
        <v>1769</v>
      </c>
    </row>
    <row r="472" spans="1:7" x14ac:dyDescent="0.25">
      <c r="A472" s="2" t="str">
        <f>"00080194"</f>
        <v>00080194</v>
      </c>
      <c r="B472" s="2" t="str">
        <f t="shared" ref="B472:B481" si="7">"  "</f>
        <v xml:space="preserve">  </v>
      </c>
      <c r="C472" s="1" t="s">
        <v>287</v>
      </c>
      <c r="D472" s="1" t="s">
        <v>0</v>
      </c>
      <c r="E472" s="1" t="s">
        <v>12</v>
      </c>
      <c r="F472" s="2" t="s">
        <v>0</v>
      </c>
      <c r="G472" s="3">
        <v>14.6</v>
      </c>
    </row>
    <row r="473" spans="1:7" x14ac:dyDescent="0.25">
      <c r="A473" s="2" t="str">
        <f>"00080195"</f>
        <v>00080195</v>
      </c>
      <c r="B473" s="2" t="str">
        <f t="shared" si="7"/>
        <v xml:space="preserve">  </v>
      </c>
      <c r="C473" s="1" t="s">
        <v>288</v>
      </c>
      <c r="D473" s="1" t="s">
        <v>0</v>
      </c>
      <c r="E473" s="1" t="s">
        <v>12</v>
      </c>
      <c r="F473" s="2" t="s">
        <v>0</v>
      </c>
      <c r="G473" s="3">
        <v>13.73</v>
      </c>
    </row>
    <row r="474" spans="1:7" x14ac:dyDescent="0.25">
      <c r="A474" s="2" t="str">
        <f>"00080197"</f>
        <v>00080197</v>
      </c>
      <c r="B474" s="2" t="str">
        <f t="shared" si="7"/>
        <v xml:space="preserve">  </v>
      </c>
      <c r="C474" s="1" t="s">
        <v>289</v>
      </c>
      <c r="D474" s="1" t="s">
        <v>0</v>
      </c>
      <c r="E474" s="1" t="s">
        <v>12</v>
      </c>
      <c r="F474" s="2" t="s">
        <v>0</v>
      </c>
      <c r="G474" s="3">
        <v>13.73</v>
      </c>
    </row>
    <row r="475" spans="1:7" x14ac:dyDescent="0.25">
      <c r="A475" s="2" t="str">
        <f>"00080198"</f>
        <v>00080198</v>
      </c>
      <c r="B475" s="2" t="str">
        <f t="shared" si="7"/>
        <v xml:space="preserve">  </v>
      </c>
      <c r="C475" s="1" t="s">
        <v>290</v>
      </c>
      <c r="D475" s="1" t="s">
        <v>0</v>
      </c>
      <c r="E475" s="1" t="s">
        <v>12</v>
      </c>
      <c r="F475" s="2" t="s">
        <v>0</v>
      </c>
      <c r="G475" s="3">
        <v>14.14</v>
      </c>
    </row>
    <row r="476" spans="1:7" x14ac:dyDescent="0.25">
      <c r="A476" s="2" t="str">
        <f>"00080199"</f>
        <v>00080199</v>
      </c>
      <c r="B476" s="2" t="str">
        <f t="shared" si="7"/>
        <v xml:space="preserve">  </v>
      </c>
      <c r="C476" s="1" t="s">
        <v>291</v>
      </c>
      <c r="D476" s="1" t="s">
        <v>0</v>
      </c>
      <c r="E476" s="1" t="s">
        <v>12</v>
      </c>
      <c r="F476" s="2" t="s">
        <v>0</v>
      </c>
      <c r="G476" s="3">
        <v>27.11</v>
      </c>
    </row>
    <row r="477" spans="1:7" x14ac:dyDescent="0.25">
      <c r="A477" s="2" t="str">
        <f>"00080200"</f>
        <v>00080200</v>
      </c>
      <c r="B477" s="2" t="str">
        <f t="shared" si="7"/>
        <v xml:space="preserve">  </v>
      </c>
      <c r="C477" s="1" t="s">
        <v>292</v>
      </c>
      <c r="D477" s="1" t="s">
        <v>0</v>
      </c>
      <c r="E477" s="1" t="s">
        <v>12</v>
      </c>
      <c r="F477" s="2" t="s">
        <v>0</v>
      </c>
      <c r="G477" s="3">
        <v>16.13</v>
      </c>
    </row>
    <row r="478" spans="1:7" ht="29.25" x14ac:dyDescent="0.25">
      <c r="A478" s="2" t="str">
        <f>"00080201"</f>
        <v>00080201</v>
      </c>
      <c r="B478" s="2" t="str">
        <f t="shared" si="7"/>
        <v xml:space="preserve">  </v>
      </c>
      <c r="C478" s="1" t="s">
        <v>293</v>
      </c>
      <c r="D478" s="1" t="s">
        <v>0</v>
      </c>
      <c r="E478" s="1" t="s">
        <v>12</v>
      </c>
      <c r="F478" s="2" t="s">
        <v>0</v>
      </c>
      <c r="G478" s="3">
        <v>11.92</v>
      </c>
    </row>
    <row r="479" spans="1:7" x14ac:dyDescent="0.25">
      <c r="A479" s="2" t="str">
        <f>"00080202"</f>
        <v>00080202</v>
      </c>
      <c r="B479" s="2" t="str">
        <f t="shared" si="7"/>
        <v xml:space="preserve">  </v>
      </c>
      <c r="C479" s="1" t="s">
        <v>294</v>
      </c>
      <c r="D479" s="1" t="s">
        <v>0</v>
      </c>
      <c r="E479" s="1" t="s">
        <v>12</v>
      </c>
      <c r="F479" s="2" t="s">
        <v>0</v>
      </c>
      <c r="G479" s="3">
        <v>13.54</v>
      </c>
    </row>
    <row r="480" spans="1:7" x14ac:dyDescent="0.25">
      <c r="A480" s="2" t="str">
        <f>"00080203"</f>
        <v>00080203</v>
      </c>
      <c r="B480" s="2" t="str">
        <f t="shared" si="7"/>
        <v xml:space="preserve">  </v>
      </c>
      <c r="C480" s="1" t="s">
        <v>295</v>
      </c>
      <c r="D480" s="1" t="s">
        <v>0</v>
      </c>
      <c r="E480" s="1" t="s">
        <v>12</v>
      </c>
      <c r="F480" s="2" t="s">
        <v>0</v>
      </c>
      <c r="G480" s="3">
        <v>13.25</v>
      </c>
    </row>
    <row r="481" spans="1:7" x14ac:dyDescent="0.25">
      <c r="A481" s="2" t="str">
        <f>"00080204"</f>
        <v>00080204</v>
      </c>
      <c r="B481" s="2" t="str">
        <f t="shared" si="7"/>
        <v xml:space="preserve">  </v>
      </c>
      <c r="C481" s="1" t="s">
        <v>296</v>
      </c>
      <c r="D481" s="1" t="s">
        <v>0</v>
      </c>
      <c r="E481" s="1" t="s">
        <v>12</v>
      </c>
      <c r="F481" s="2" t="s">
        <v>0</v>
      </c>
      <c r="G481" s="3">
        <v>38.57</v>
      </c>
    </row>
    <row r="482" spans="1:7" x14ac:dyDescent="0.25">
      <c r="A482" s="2" t="str">
        <f>"00080204"</f>
        <v>00080204</v>
      </c>
      <c r="B482" s="2" t="str">
        <f>"90"</f>
        <v>90</v>
      </c>
      <c r="C482" s="1" t="s">
        <v>296</v>
      </c>
      <c r="D482" s="1" t="s">
        <v>0</v>
      </c>
      <c r="E482" s="1" t="s">
        <v>14</v>
      </c>
      <c r="F482" s="2" t="s">
        <v>0</v>
      </c>
      <c r="G482" s="17" t="s">
        <v>1769</v>
      </c>
    </row>
    <row r="483" spans="1:7" x14ac:dyDescent="0.25">
      <c r="A483" s="2" t="str">
        <f>"00080210"</f>
        <v>00080210</v>
      </c>
      <c r="B483" s="2" t="str">
        <f>"  "</f>
        <v xml:space="preserve">  </v>
      </c>
      <c r="C483" s="1" t="s">
        <v>297</v>
      </c>
      <c r="D483" s="1" t="s">
        <v>0</v>
      </c>
      <c r="E483" s="1" t="s">
        <v>12</v>
      </c>
      <c r="F483" s="2" t="s">
        <v>0</v>
      </c>
      <c r="G483" s="3">
        <v>27.11</v>
      </c>
    </row>
    <row r="484" spans="1:7" x14ac:dyDescent="0.25">
      <c r="A484" s="2" t="str">
        <f>"00080210"</f>
        <v>00080210</v>
      </c>
      <c r="B484" s="2" t="str">
        <f>"90"</f>
        <v>90</v>
      </c>
      <c r="C484" s="1" t="s">
        <v>297</v>
      </c>
      <c r="D484" s="1" t="s">
        <v>0</v>
      </c>
      <c r="E484" s="1" t="s">
        <v>14</v>
      </c>
      <c r="F484" s="2" t="s">
        <v>0</v>
      </c>
      <c r="G484" s="17" t="s">
        <v>1769</v>
      </c>
    </row>
    <row r="485" spans="1:7" ht="29.25" x14ac:dyDescent="0.25">
      <c r="A485" s="2" t="str">
        <f>"00080220"</f>
        <v>00080220</v>
      </c>
      <c r="B485" s="2" t="str">
        <f>"  "</f>
        <v xml:space="preserve">  </v>
      </c>
      <c r="C485" s="1" t="s">
        <v>298</v>
      </c>
      <c r="D485" s="1" t="s">
        <v>0</v>
      </c>
      <c r="E485" s="1" t="s">
        <v>12</v>
      </c>
      <c r="F485" s="2" t="s">
        <v>0</v>
      </c>
      <c r="G485" s="3">
        <v>18.64</v>
      </c>
    </row>
    <row r="486" spans="1:7" ht="29.25" x14ac:dyDescent="0.25">
      <c r="A486" s="2" t="str">
        <f>"00080220"</f>
        <v>00080220</v>
      </c>
      <c r="B486" s="2" t="str">
        <f>"90"</f>
        <v>90</v>
      </c>
      <c r="C486" s="1" t="s">
        <v>298</v>
      </c>
      <c r="D486" s="1" t="s">
        <v>0</v>
      </c>
      <c r="E486" s="1" t="s">
        <v>14</v>
      </c>
      <c r="F486" s="2" t="s">
        <v>0</v>
      </c>
      <c r="G486" s="17" t="s">
        <v>1769</v>
      </c>
    </row>
    <row r="487" spans="1:7" ht="29.25" x14ac:dyDescent="0.25">
      <c r="A487" s="2" t="str">
        <f>"00080230"</f>
        <v>00080230</v>
      </c>
      <c r="B487" s="2" t="str">
        <f>"  "</f>
        <v xml:space="preserve">  </v>
      </c>
      <c r="C487" s="1" t="s">
        <v>299</v>
      </c>
      <c r="D487" s="1" t="s">
        <v>0</v>
      </c>
      <c r="E487" s="1" t="s">
        <v>12</v>
      </c>
      <c r="F487" s="2" t="s">
        <v>0</v>
      </c>
      <c r="G487" s="3">
        <v>38.57</v>
      </c>
    </row>
    <row r="488" spans="1:7" ht="29.25" x14ac:dyDescent="0.25">
      <c r="A488" s="2" t="str">
        <f>"00080235"</f>
        <v>00080235</v>
      </c>
      <c r="B488" s="2" t="str">
        <f>"  "</f>
        <v xml:space="preserve">  </v>
      </c>
      <c r="C488" s="1" t="s">
        <v>300</v>
      </c>
      <c r="D488" s="1" t="s">
        <v>0</v>
      </c>
      <c r="E488" s="1" t="s">
        <v>12</v>
      </c>
      <c r="F488" s="2" t="s">
        <v>0</v>
      </c>
      <c r="G488" s="3">
        <v>27.11</v>
      </c>
    </row>
    <row r="489" spans="1:7" ht="29.25" x14ac:dyDescent="0.25">
      <c r="A489" s="2" t="str">
        <f>"00080280"</f>
        <v>00080280</v>
      </c>
      <c r="B489" s="2" t="str">
        <f>"  "</f>
        <v xml:space="preserve">  </v>
      </c>
      <c r="C489" s="1" t="s">
        <v>301</v>
      </c>
      <c r="D489" s="1" t="s">
        <v>0</v>
      </c>
      <c r="E489" s="1" t="s">
        <v>12</v>
      </c>
      <c r="F489" s="2" t="s">
        <v>0</v>
      </c>
      <c r="G489" s="3">
        <v>38.57</v>
      </c>
    </row>
    <row r="490" spans="1:7" ht="29.25" x14ac:dyDescent="0.25">
      <c r="A490" s="2" t="str">
        <f>"00080285"</f>
        <v>00080285</v>
      </c>
      <c r="B490" s="2" t="str">
        <f>"  "</f>
        <v xml:space="preserve">  </v>
      </c>
      <c r="C490" s="1" t="s">
        <v>302</v>
      </c>
      <c r="D490" s="1" t="s">
        <v>0</v>
      </c>
      <c r="E490" s="1" t="s">
        <v>12</v>
      </c>
      <c r="F490" s="2" t="s">
        <v>0</v>
      </c>
      <c r="G490" s="3">
        <v>27.11</v>
      </c>
    </row>
    <row r="491" spans="1:7" ht="29.25" x14ac:dyDescent="0.25">
      <c r="A491" s="2" t="str">
        <f>"00080285"</f>
        <v>00080285</v>
      </c>
      <c r="B491" s="2" t="str">
        <f>"90"</f>
        <v>90</v>
      </c>
      <c r="C491" s="1" t="s">
        <v>302</v>
      </c>
      <c r="D491" s="1" t="s">
        <v>0</v>
      </c>
      <c r="E491" s="1" t="s">
        <v>14</v>
      </c>
      <c r="F491" s="2" t="s">
        <v>0</v>
      </c>
      <c r="G491" s="17" t="s">
        <v>1769</v>
      </c>
    </row>
    <row r="492" spans="1:7" ht="43.5" x14ac:dyDescent="0.25">
      <c r="A492" s="2" t="str">
        <f>"00080299"</f>
        <v>00080299</v>
      </c>
      <c r="B492" s="2" t="str">
        <f>"  "</f>
        <v xml:space="preserve">  </v>
      </c>
      <c r="C492" s="1" t="s">
        <v>303</v>
      </c>
      <c r="D492" s="1" t="s">
        <v>0</v>
      </c>
      <c r="E492" s="1" t="s">
        <v>12</v>
      </c>
      <c r="F492" s="2" t="s">
        <v>0</v>
      </c>
      <c r="G492" s="3">
        <v>18.64</v>
      </c>
    </row>
    <row r="493" spans="1:7" ht="29.25" x14ac:dyDescent="0.25">
      <c r="A493" s="2" t="str">
        <f>"00080305"</f>
        <v>00080305</v>
      </c>
      <c r="B493" s="2" t="str">
        <f>"  "</f>
        <v xml:space="preserve">  </v>
      </c>
      <c r="C493" s="1" t="s">
        <v>304</v>
      </c>
      <c r="D493" s="1" t="s">
        <v>0</v>
      </c>
      <c r="E493" s="1" t="s">
        <v>12</v>
      </c>
      <c r="F493" s="2" t="s">
        <v>0</v>
      </c>
      <c r="G493" s="3">
        <v>12.6</v>
      </c>
    </row>
    <row r="494" spans="1:7" ht="114.75" x14ac:dyDescent="0.25">
      <c r="A494" s="2" t="str">
        <f>"00080305"</f>
        <v>00080305</v>
      </c>
      <c r="B494" s="2" t="str">
        <f>"QW"</f>
        <v>QW</v>
      </c>
      <c r="C494" s="1" t="s">
        <v>305</v>
      </c>
      <c r="D494" s="1" t="s">
        <v>0</v>
      </c>
      <c r="E494" s="1" t="s">
        <v>12</v>
      </c>
      <c r="F494" s="2" t="s">
        <v>0</v>
      </c>
      <c r="G494" s="3">
        <v>12.6</v>
      </c>
    </row>
    <row r="495" spans="1:7" ht="29.25" x14ac:dyDescent="0.25">
      <c r="A495" s="2" t="str">
        <f>"00080306"</f>
        <v>00080306</v>
      </c>
      <c r="B495" s="2" t="str">
        <f>"  "</f>
        <v xml:space="preserve">  </v>
      </c>
      <c r="C495" s="1" t="s">
        <v>304</v>
      </c>
      <c r="D495" s="1" t="s">
        <v>0</v>
      </c>
      <c r="E495" s="1" t="s">
        <v>12</v>
      </c>
      <c r="F495" s="2" t="s">
        <v>0</v>
      </c>
      <c r="G495" s="3">
        <v>17.14</v>
      </c>
    </row>
    <row r="496" spans="1:7" ht="29.25" x14ac:dyDescent="0.25">
      <c r="A496" s="2" t="str">
        <f>"00080306"</f>
        <v>00080306</v>
      </c>
      <c r="B496" s="2" t="str">
        <f>"90"</f>
        <v>90</v>
      </c>
      <c r="C496" s="1" t="s">
        <v>304</v>
      </c>
      <c r="D496" s="1" t="s">
        <v>0</v>
      </c>
      <c r="E496" s="1" t="s">
        <v>14</v>
      </c>
      <c r="F496" s="2" t="s">
        <v>0</v>
      </c>
      <c r="G496" s="17" t="s">
        <v>1769</v>
      </c>
    </row>
    <row r="497" spans="1:7" ht="29.25" x14ac:dyDescent="0.25">
      <c r="A497" s="2" t="str">
        <f>"00080307"</f>
        <v>00080307</v>
      </c>
      <c r="B497" s="2" t="str">
        <f t="shared" ref="B497:B521" si="8">"  "</f>
        <v xml:space="preserve">  </v>
      </c>
      <c r="C497" s="1" t="s">
        <v>304</v>
      </c>
      <c r="D497" s="1" t="s">
        <v>0</v>
      </c>
      <c r="E497" s="1" t="s">
        <v>12</v>
      </c>
      <c r="F497" s="2" t="s">
        <v>0</v>
      </c>
      <c r="G497" s="3">
        <v>62.14</v>
      </c>
    </row>
    <row r="498" spans="1:7" ht="72" x14ac:dyDescent="0.25">
      <c r="A498" s="2" t="str">
        <f>"00080400"</f>
        <v>00080400</v>
      </c>
      <c r="B498" s="2" t="str">
        <f t="shared" si="8"/>
        <v xml:space="preserve">  </v>
      </c>
      <c r="C498" s="1" t="s">
        <v>306</v>
      </c>
      <c r="D498" s="1" t="s">
        <v>0</v>
      </c>
      <c r="E498" s="1" t="s">
        <v>12</v>
      </c>
      <c r="F498" s="2" t="s">
        <v>0</v>
      </c>
      <c r="G498" s="3">
        <v>32.619999999999997</v>
      </c>
    </row>
    <row r="499" spans="1:7" ht="43.5" x14ac:dyDescent="0.25">
      <c r="A499" s="2" t="str">
        <f>"00080402"</f>
        <v>00080402</v>
      </c>
      <c r="B499" s="2" t="str">
        <f t="shared" si="8"/>
        <v xml:space="preserve">  </v>
      </c>
      <c r="C499" s="1" t="s">
        <v>307</v>
      </c>
      <c r="D499" s="1" t="s">
        <v>0</v>
      </c>
      <c r="E499" s="1" t="s">
        <v>12</v>
      </c>
      <c r="F499" s="2" t="s">
        <v>0</v>
      </c>
      <c r="G499" s="3">
        <v>86.96</v>
      </c>
    </row>
    <row r="500" spans="1:7" ht="43.5" x14ac:dyDescent="0.25">
      <c r="A500" s="2" t="str">
        <f>"00080406"</f>
        <v>00080406</v>
      </c>
      <c r="B500" s="2" t="str">
        <f t="shared" si="8"/>
        <v xml:space="preserve">  </v>
      </c>
      <c r="C500" s="1" t="s">
        <v>308</v>
      </c>
      <c r="D500" s="1" t="s">
        <v>0</v>
      </c>
      <c r="E500" s="1" t="s">
        <v>12</v>
      </c>
      <c r="F500" s="2" t="s">
        <v>0</v>
      </c>
      <c r="G500" s="3">
        <v>78.260000000000005</v>
      </c>
    </row>
    <row r="501" spans="1:7" ht="57.75" x14ac:dyDescent="0.25">
      <c r="A501" s="2" t="str">
        <f>"00080408"</f>
        <v>00080408</v>
      </c>
      <c r="B501" s="2" t="str">
        <f t="shared" si="8"/>
        <v xml:space="preserve">  </v>
      </c>
      <c r="C501" s="1" t="s">
        <v>309</v>
      </c>
      <c r="D501" s="1" t="s">
        <v>0</v>
      </c>
      <c r="E501" s="1" t="s">
        <v>12</v>
      </c>
      <c r="F501" s="2" t="s">
        <v>0</v>
      </c>
      <c r="G501" s="3">
        <v>125.5</v>
      </c>
    </row>
    <row r="502" spans="1:7" ht="29.25" x14ac:dyDescent="0.25">
      <c r="A502" s="2" t="str">
        <f>"00080410"</f>
        <v>00080410</v>
      </c>
      <c r="B502" s="2" t="str">
        <f t="shared" si="8"/>
        <v xml:space="preserve">  </v>
      </c>
      <c r="C502" s="1" t="s">
        <v>310</v>
      </c>
      <c r="D502" s="1" t="s">
        <v>0</v>
      </c>
      <c r="E502" s="1" t="s">
        <v>12</v>
      </c>
      <c r="F502" s="2" t="s">
        <v>0</v>
      </c>
      <c r="G502" s="3">
        <v>80.37</v>
      </c>
    </row>
    <row r="503" spans="1:7" ht="43.5" x14ac:dyDescent="0.25">
      <c r="A503" s="2" t="str">
        <f>"00080412"</f>
        <v>00080412</v>
      </c>
      <c r="B503" s="2" t="str">
        <f t="shared" si="8"/>
        <v xml:space="preserve">  </v>
      </c>
      <c r="C503" s="1" t="s">
        <v>311</v>
      </c>
      <c r="D503" s="1" t="s">
        <v>0</v>
      </c>
      <c r="E503" s="1" t="s">
        <v>12</v>
      </c>
      <c r="F503" s="2" t="s">
        <v>0</v>
      </c>
      <c r="G503" s="3">
        <v>801.62</v>
      </c>
    </row>
    <row r="504" spans="1:7" ht="72" x14ac:dyDescent="0.25">
      <c r="A504" s="2" t="str">
        <f>"00080414"</f>
        <v>00080414</v>
      </c>
      <c r="B504" s="2" t="str">
        <f t="shared" si="8"/>
        <v xml:space="preserve">  </v>
      </c>
      <c r="C504" s="1" t="s">
        <v>312</v>
      </c>
      <c r="D504" s="1" t="s">
        <v>0</v>
      </c>
      <c r="E504" s="1" t="s">
        <v>12</v>
      </c>
      <c r="F504" s="2" t="s">
        <v>0</v>
      </c>
      <c r="G504" s="3">
        <v>51.64</v>
      </c>
    </row>
    <row r="505" spans="1:7" x14ac:dyDescent="0.25">
      <c r="A505" s="2" t="str">
        <f>"00080415"</f>
        <v>00080415</v>
      </c>
      <c r="B505" s="2" t="str">
        <f t="shared" si="8"/>
        <v xml:space="preserve">  </v>
      </c>
      <c r="C505" s="1" t="s">
        <v>313</v>
      </c>
      <c r="D505" s="1" t="s">
        <v>0</v>
      </c>
      <c r="E505" s="1" t="s">
        <v>12</v>
      </c>
      <c r="F505" s="2" t="s">
        <v>0</v>
      </c>
      <c r="G505" s="3">
        <v>55.89</v>
      </c>
    </row>
    <row r="506" spans="1:7" ht="43.5" x14ac:dyDescent="0.25">
      <c r="A506" s="2" t="str">
        <f>"00080416"</f>
        <v>00080416</v>
      </c>
      <c r="B506" s="2" t="str">
        <f t="shared" si="8"/>
        <v xml:space="preserve">  </v>
      </c>
      <c r="C506" s="1" t="s">
        <v>314</v>
      </c>
      <c r="D506" s="1" t="s">
        <v>0</v>
      </c>
      <c r="E506" s="1" t="s">
        <v>12</v>
      </c>
      <c r="F506" s="2" t="s">
        <v>0</v>
      </c>
      <c r="G506" s="3">
        <v>209.32</v>
      </c>
    </row>
    <row r="507" spans="1:7" ht="43.5" x14ac:dyDescent="0.25">
      <c r="A507" s="2" t="str">
        <f>"00080417"</f>
        <v>00080417</v>
      </c>
      <c r="B507" s="2" t="str">
        <f t="shared" si="8"/>
        <v xml:space="preserve">  </v>
      </c>
      <c r="C507" s="1" t="s">
        <v>315</v>
      </c>
      <c r="D507" s="1" t="s">
        <v>0</v>
      </c>
      <c r="E507" s="1" t="s">
        <v>12</v>
      </c>
      <c r="F507" s="2" t="s">
        <v>0</v>
      </c>
      <c r="G507" s="3">
        <v>43.99</v>
      </c>
    </row>
    <row r="508" spans="1:7" ht="43.5" x14ac:dyDescent="0.25">
      <c r="A508" s="2" t="str">
        <f>"00080418"</f>
        <v>00080418</v>
      </c>
      <c r="B508" s="2" t="str">
        <f t="shared" si="8"/>
        <v xml:space="preserve">  </v>
      </c>
      <c r="C508" s="1" t="s">
        <v>316</v>
      </c>
      <c r="D508" s="1" t="s">
        <v>0</v>
      </c>
      <c r="E508" s="1" t="s">
        <v>12</v>
      </c>
      <c r="F508" s="2" t="s">
        <v>0</v>
      </c>
      <c r="G508" s="3">
        <v>579.48</v>
      </c>
    </row>
    <row r="509" spans="1:7" ht="43.5" x14ac:dyDescent="0.25">
      <c r="A509" s="2" t="str">
        <f>"00080420"</f>
        <v>00080420</v>
      </c>
      <c r="B509" s="2" t="str">
        <f t="shared" si="8"/>
        <v xml:space="preserve">  </v>
      </c>
      <c r="C509" s="1" t="s">
        <v>317</v>
      </c>
      <c r="D509" s="1" t="s">
        <v>0</v>
      </c>
      <c r="E509" s="1" t="s">
        <v>12</v>
      </c>
      <c r="F509" s="2" t="s">
        <v>0</v>
      </c>
      <c r="G509" s="3">
        <v>161.88</v>
      </c>
    </row>
    <row r="510" spans="1:7" ht="29.25" x14ac:dyDescent="0.25">
      <c r="A510" s="2" t="str">
        <f>"00080422"</f>
        <v>00080422</v>
      </c>
      <c r="B510" s="2" t="str">
        <f t="shared" si="8"/>
        <v xml:space="preserve">  </v>
      </c>
      <c r="C510" s="1" t="s">
        <v>318</v>
      </c>
      <c r="D510" s="1" t="s">
        <v>0</v>
      </c>
      <c r="E510" s="1" t="s">
        <v>12</v>
      </c>
      <c r="F510" s="2" t="s">
        <v>0</v>
      </c>
      <c r="G510" s="3">
        <v>46.07</v>
      </c>
    </row>
    <row r="511" spans="1:7" ht="29.25" x14ac:dyDescent="0.25">
      <c r="A511" s="2" t="str">
        <f>"00080424"</f>
        <v>00080424</v>
      </c>
      <c r="B511" s="2" t="str">
        <f t="shared" si="8"/>
        <v xml:space="preserve">  </v>
      </c>
      <c r="C511" s="1" t="s">
        <v>319</v>
      </c>
      <c r="D511" s="1" t="s">
        <v>0</v>
      </c>
      <c r="E511" s="1" t="s">
        <v>12</v>
      </c>
      <c r="F511" s="2" t="s">
        <v>0</v>
      </c>
      <c r="G511" s="3">
        <v>50.5</v>
      </c>
    </row>
    <row r="512" spans="1:7" ht="43.5" x14ac:dyDescent="0.25">
      <c r="A512" s="2" t="str">
        <f>"00080426"</f>
        <v>00080426</v>
      </c>
      <c r="B512" s="2" t="str">
        <f t="shared" si="8"/>
        <v xml:space="preserve">  </v>
      </c>
      <c r="C512" s="1" t="s">
        <v>320</v>
      </c>
      <c r="D512" s="1" t="s">
        <v>0</v>
      </c>
      <c r="E512" s="1" t="s">
        <v>12</v>
      </c>
      <c r="F512" s="2" t="s">
        <v>0</v>
      </c>
      <c r="G512" s="3">
        <v>148.41</v>
      </c>
    </row>
    <row r="513" spans="1:7" ht="57.75" x14ac:dyDescent="0.25">
      <c r="A513" s="2" t="str">
        <f>"00080428"</f>
        <v>00080428</v>
      </c>
      <c r="B513" s="2" t="str">
        <f t="shared" si="8"/>
        <v xml:space="preserve">  </v>
      </c>
      <c r="C513" s="1" t="s">
        <v>321</v>
      </c>
      <c r="D513" s="1" t="s">
        <v>0</v>
      </c>
      <c r="E513" s="1" t="s">
        <v>12</v>
      </c>
      <c r="F513" s="2" t="s">
        <v>0</v>
      </c>
      <c r="G513" s="3">
        <v>66.7</v>
      </c>
    </row>
    <row r="514" spans="1:7" ht="57.75" x14ac:dyDescent="0.25">
      <c r="A514" s="2" t="str">
        <f>"00080430"</f>
        <v>00080430</v>
      </c>
      <c r="B514" s="2" t="str">
        <f t="shared" si="8"/>
        <v xml:space="preserve">  </v>
      </c>
      <c r="C514" s="1" t="s">
        <v>322</v>
      </c>
      <c r="D514" s="1" t="s">
        <v>0</v>
      </c>
      <c r="E514" s="1" t="s">
        <v>12</v>
      </c>
      <c r="F514" s="2" t="s">
        <v>0</v>
      </c>
      <c r="G514" s="3">
        <v>129.33000000000001</v>
      </c>
    </row>
    <row r="515" spans="1:7" ht="43.5" x14ac:dyDescent="0.25">
      <c r="A515" s="2" t="str">
        <f>"00080432"</f>
        <v>00080432</v>
      </c>
      <c r="B515" s="2" t="str">
        <f t="shared" si="8"/>
        <v xml:space="preserve">  </v>
      </c>
      <c r="C515" s="1" t="s">
        <v>323</v>
      </c>
      <c r="D515" s="1" t="s">
        <v>0</v>
      </c>
      <c r="E515" s="1" t="s">
        <v>12</v>
      </c>
      <c r="F515" s="2" t="s">
        <v>0</v>
      </c>
      <c r="G515" s="3">
        <v>165.61</v>
      </c>
    </row>
    <row r="516" spans="1:7" ht="29.25" x14ac:dyDescent="0.25">
      <c r="A516" s="2" t="str">
        <f>"00080434"</f>
        <v>00080434</v>
      </c>
      <c r="B516" s="2" t="str">
        <f t="shared" si="8"/>
        <v xml:space="preserve">  </v>
      </c>
      <c r="C516" s="1" t="s">
        <v>324</v>
      </c>
      <c r="D516" s="1" t="s">
        <v>0</v>
      </c>
      <c r="E516" s="1" t="s">
        <v>12</v>
      </c>
      <c r="F516" s="2" t="s">
        <v>0</v>
      </c>
      <c r="G516" s="3">
        <v>285.02999999999997</v>
      </c>
    </row>
    <row r="517" spans="1:7" ht="43.5" x14ac:dyDescent="0.25">
      <c r="A517" s="2" t="str">
        <f>"00080435"</f>
        <v>00080435</v>
      </c>
      <c r="B517" s="2" t="str">
        <f t="shared" si="8"/>
        <v xml:space="preserve">  </v>
      </c>
      <c r="C517" s="1" t="s">
        <v>325</v>
      </c>
      <c r="D517" s="1" t="s">
        <v>0</v>
      </c>
      <c r="E517" s="1" t="s">
        <v>12</v>
      </c>
      <c r="F517" s="2" t="s">
        <v>0</v>
      </c>
      <c r="G517" s="3">
        <v>103</v>
      </c>
    </row>
    <row r="518" spans="1:7" x14ac:dyDescent="0.25">
      <c r="A518" s="2" t="str">
        <f>"00080436"</f>
        <v>00080436</v>
      </c>
      <c r="B518" s="2" t="str">
        <f t="shared" si="8"/>
        <v xml:space="preserve">  </v>
      </c>
      <c r="C518" s="1" t="s">
        <v>326</v>
      </c>
      <c r="D518" s="1" t="s">
        <v>0</v>
      </c>
      <c r="E518" s="1" t="s">
        <v>12</v>
      </c>
      <c r="F518" s="2" t="s">
        <v>0</v>
      </c>
      <c r="G518" s="3">
        <v>91.16</v>
      </c>
    </row>
    <row r="519" spans="1:7" ht="57.75" x14ac:dyDescent="0.25">
      <c r="A519" s="2" t="str">
        <f>"00080438"</f>
        <v>00080438</v>
      </c>
      <c r="B519" s="2" t="str">
        <f t="shared" si="8"/>
        <v xml:space="preserve">  </v>
      </c>
      <c r="C519" s="1" t="s">
        <v>327</v>
      </c>
      <c r="D519" s="1" t="s">
        <v>0</v>
      </c>
      <c r="E519" s="1" t="s">
        <v>12</v>
      </c>
      <c r="F519" s="2" t="s">
        <v>0</v>
      </c>
      <c r="G519" s="3">
        <v>50.41</v>
      </c>
    </row>
    <row r="520" spans="1:7" x14ac:dyDescent="0.25">
      <c r="A520" s="2" t="str">
        <f>"00080439"</f>
        <v>00080439</v>
      </c>
      <c r="B520" s="2" t="str">
        <f t="shared" si="8"/>
        <v xml:space="preserve">  </v>
      </c>
      <c r="C520" s="1" t="s">
        <v>328</v>
      </c>
      <c r="D520" s="1" t="s">
        <v>0</v>
      </c>
      <c r="E520" s="1" t="s">
        <v>12</v>
      </c>
      <c r="F520" s="2" t="s">
        <v>0</v>
      </c>
      <c r="G520" s="3">
        <v>67.209999999999994</v>
      </c>
    </row>
    <row r="521" spans="1:7" ht="43.5" x14ac:dyDescent="0.25">
      <c r="A521" s="2" t="str">
        <f>"00080503"</f>
        <v>00080503</v>
      </c>
      <c r="B521" s="2" t="str">
        <f t="shared" si="8"/>
        <v xml:space="preserve">  </v>
      </c>
      <c r="C521" s="1" t="s">
        <v>329</v>
      </c>
      <c r="D521" s="1" t="s">
        <v>0</v>
      </c>
      <c r="E521" s="1" t="s">
        <v>14</v>
      </c>
      <c r="F521" s="2" t="s">
        <v>0</v>
      </c>
      <c r="G521" s="17" t="s">
        <v>1769</v>
      </c>
    </row>
    <row r="522" spans="1:7" ht="43.5" x14ac:dyDescent="0.25">
      <c r="A522" s="2" t="str">
        <f>"00080503"</f>
        <v>00080503</v>
      </c>
      <c r="B522" s="2" t="str">
        <f>"90"</f>
        <v>90</v>
      </c>
      <c r="C522" s="1" t="s">
        <v>329</v>
      </c>
      <c r="D522" s="1" t="s">
        <v>0</v>
      </c>
      <c r="E522" s="1" t="s">
        <v>14</v>
      </c>
      <c r="F522" s="2" t="s">
        <v>0</v>
      </c>
      <c r="G522" s="17" t="s">
        <v>1769</v>
      </c>
    </row>
    <row r="523" spans="1:7" ht="43.5" x14ac:dyDescent="0.25">
      <c r="A523" s="2" t="str">
        <f>"00080504"</f>
        <v>00080504</v>
      </c>
      <c r="B523" s="2" t="str">
        <f>"  "</f>
        <v xml:space="preserve">  </v>
      </c>
      <c r="C523" s="1" t="s">
        <v>330</v>
      </c>
      <c r="D523" s="1" t="s">
        <v>0</v>
      </c>
      <c r="E523" s="1" t="s">
        <v>14</v>
      </c>
      <c r="F523" s="2" t="s">
        <v>0</v>
      </c>
      <c r="G523" s="17" t="s">
        <v>1769</v>
      </c>
    </row>
    <row r="524" spans="1:7" ht="43.5" x14ac:dyDescent="0.25">
      <c r="A524" s="2" t="str">
        <f>"00080504"</f>
        <v>00080504</v>
      </c>
      <c r="B524" s="2" t="str">
        <f>"90"</f>
        <v>90</v>
      </c>
      <c r="C524" s="1" t="s">
        <v>330</v>
      </c>
      <c r="D524" s="1" t="s">
        <v>0</v>
      </c>
      <c r="E524" s="1" t="s">
        <v>14</v>
      </c>
      <c r="F524" s="2" t="s">
        <v>0</v>
      </c>
      <c r="G524" s="17" t="s">
        <v>1769</v>
      </c>
    </row>
    <row r="525" spans="1:7" ht="43.5" x14ac:dyDescent="0.25">
      <c r="A525" s="2" t="str">
        <f>"00080505"</f>
        <v>00080505</v>
      </c>
      <c r="B525" s="2" t="str">
        <f>"  "</f>
        <v xml:space="preserve">  </v>
      </c>
      <c r="C525" s="1" t="s">
        <v>331</v>
      </c>
      <c r="D525" s="1" t="s">
        <v>0</v>
      </c>
      <c r="E525" s="1" t="s">
        <v>14</v>
      </c>
      <c r="F525" s="2" t="s">
        <v>0</v>
      </c>
      <c r="G525" s="17" t="s">
        <v>1769</v>
      </c>
    </row>
    <row r="526" spans="1:7" ht="43.5" x14ac:dyDescent="0.25">
      <c r="A526" s="2" t="str">
        <f>"00080505"</f>
        <v>00080505</v>
      </c>
      <c r="B526" s="2" t="str">
        <f>"90"</f>
        <v>90</v>
      </c>
      <c r="C526" s="1" t="s">
        <v>331</v>
      </c>
      <c r="D526" s="1" t="s">
        <v>0</v>
      </c>
      <c r="E526" s="1" t="s">
        <v>14</v>
      </c>
      <c r="F526" s="2" t="s">
        <v>0</v>
      </c>
      <c r="G526" s="17" t="s">
        <v>1769</v>
      </c>
    </row>
    <row r="527" spans="1:7" ht="29.25" x14ac:dyDescent="0.25">
      <c r="A527" s="2" t="str">
        <f>"00080506"</f>
        <v>00080506</v>
      </c>
      <c r="B527" s="2" t="str">
        <f>"  "</f>
        <v xml:space="preserve">  </v>
      </c>
      <c r="C527" s="1" t="s">
        <v>332</v>
      </c>
      <c r="D527" s="1" t="s">
        <v>0</v>
      </c>
      <c r="E527" s="1" t="s">
        <v>14</v>
      </c>
      <c r="F527" s="2" t="s">
        <v>0</v>
      </c>
      <c r="G527" s="17" t="s">
        <v>1769</v>
      </c>
    </row>
    <row r="528" spans="1:7" ht="29.25" x14ac:dyDescent="0.25">
      <c r="A528" s="2" t="str">
        <f>"00080506"</f>
        <v>00080506</v>
      </c>
      <c r="B528" s="2" t="str">
        <f>"90"</f>
        <v>90</v>
      </c>
      <c r="C528" s="1" t="s">
        <v>332</v>
      </c>
      <c r="D528" s="1" t="s">
        <v>0</v>
      </c>
      <c r="E528" s="1" t="s">
        <v>14</v>
      </c>
      <c r="F528" s="2" t="s">
        <v>0</v>
      </c>
      <c r="G528" s="17" t="s">
        <v>1769</v>
      </c>
    </row>
    <row r="529" spans="1:7" ht="86.25" x14ac:dyDescent="0.25">
      <c r="A529" s="2" t="str">
        <f>"00081000"</f>
        <v>00081000</v>
      </c>
      <c r="B529" s="2" t="str">
        <f>"  "</f>
        <v xml:space="preserve">  </v>
      </c>
      <c r="C529" s="1" t="s">
        <v>333</v>
      </c>
      <c r="D529" s="1" t="s">
        <v>0</v>
      </c>
      <c r="E529" s="1" t="s">
        <v>12</v>
      </c>
      <c r="F529" s="2" t="s">
        <v>0</v>
      </c>
      <c r="G529" s="3">
        <v>4.0199999999999996</v>
      </c>
    </row>
    <row r="530" spans="1:7" ht="86.25" x14ac:dyDescent="0.25">
      <c r="A530" s="2" t="str">
        <f>"00081001"</f>
        <v>00081001</v>
      </c>
      <c r="B530" s="2" t="str">
        <f>"  "</f>
        <v xml:space="preserve">  </v>
      </c>
      <c r="C530" s="1" t="s">
        <v>334</v>
      </c>
      <c r="D530" s="1" t="s">
        <v>0</v>
      </c>
      <c r="E530" s="1" t="s">
        <v>12</v>
      </c>
      <c r="F530" s="2" t="s">
        <v>0</v>
      </c>
      <c r="G530" s="3">
        <v>3.17</v>
      </c>
    </row>
    <row r="531" spans="1:7" ht="86.25" x14ac:dyDescent="0.25">
      <c r="A531" s="2" t="str">
        <f>"00081002"</f>
        <v>00081002</v>
      </c>
      <c r="B531" s="2" t="str">
        <f>"  "</f>
        <v xml:space="preserve">  </v>
      </c>
      <c r="C531" s="1" t="s">
        <v>335</v>
      </c>
      <c r="D531" s="1" t="s">
        <v>0</v>
      </c>
      <c r="E531" s="1" t="s">
        <v>12</v>
      </c>
      <c r="F531" s="2" t="s">
        <v>0</v>
      </c>
      <c r="G531" s="3">
        <v>3.48</v>
      </c>
    </row>
    <row r="532" spans="1:7" ht="29.25" x14ac:dyDescent="0.25">
      <c r="A532" s="2" t="str">
        <f>"00081003"</f>
        <v>00081003</v>
      </c>
      <c r="B532" s="2" t="str">
        <f>"  "</f>
        <v xml:space="preserve">  </v>
      </c>
      <c r="C532" s="1" t="s">
        <v>336</v>
      </c>
      <c r="D532" s="1" t="s">
        <v>0</v>
      </c>
      <c r="E532" s="1" t="s">
        <v>12</v>
      </c>
      <c r="F532" s="2" t="s">
        <v>0</v>
      </c>
      <c r="G532" s="3">
        <v>2.25</v>
      </c>
    </row>
    <row r="533" spans="1:7" ht="100.5" x14ac:dyDescent="0.25">
      <c r="A533" s="2" t="str">
        <f>"00081003"</f>
        <v>00081003</v>
      </c>
      <c r="B533" s="2" t="str">
        <f>"QW"</f>
        <v>QW</v>
      </c>
      <c r="C533" s="1" t="s">
        <v>337</v>
      </c>
      <c r="D533" s="1" t="s">
        <v>0</v>
      </c>
      <c r="E533" s="1" t="s">
        <v>12</v>
      </c>
      <c r="F533" s="2" t="s">
        <v>0</v>
      </c>
      <c r="G533" s="3">
        <v>2.25</v>
      </c>
    </row>
    <row r="534" spans="1:7" ht="86.25" x14ac:dyDescent="0.25">
      <c r="A534" s="2" t="str">
        <f>"00081005"</f>
        <v>00081005</v>
      </c>
      <c r="B534" s="2" t="str">
        <f>"  "</f>
        <v xml:space="preserve">  </v>
      </c>
      <c r="C534" s="1" t="s">
        <v>338</v>
      </c>
      <c r="D534" s="1" t="s">
        <v>0</v>
      </c>
      <c r="E534" s="1" t="s">
        <v>12</v>
      </c>
      <c r="F534" s="2" t="s">
        <v>0</v>
      </c>
      <c r="G534" s="3">
        <v>2.17</v>
      </c>
    </row>
    <row r="535" spans="1:7" ht="43.5" x14ac:dyDescent="0.25">
      <c r="A535" s="2" t="str">
        <f>"00081007"</f>
        <v>00081007</v>
      </c>
      <c r="B535" s="2" t="str">
        <f>"  "</f>
        <v xml:space="preserve">  </v>
      </c>
      <c r="C535" s="1" t="s">
        <v>339</v>
      </c>
      <c r="D535" s="1" t="s">
        <v>0</v>
      </c>
      <c r="E535" s="1" t="s">
        <v>12</v>
      </c>
      <c r="F535" s="2" t="s">
        <v>0</v>
      </c>
      <c r="G535" s="3">
        <v>29.98</v>
      </c>
    </row>
    <row r="536" spans="1:7" ht="43.5" x14ac:dyDescent="0.25">
      <c r="A536" s="2" t="str">
        <f>"00081007"</f>
        <v>00081007</v>
      </c>
      <c r="B536" s="2" t="str">
        <f>"QW"</f>
        <v>QW</v>
      </c>
      <c r="C536" s="1" t="s">
        <v>339</v>
      </c>
      <c r="D536" s="1" t="s">
        <v>0</v>
      </c>
      <c r="E536" s="1" t="s">
        <v>12</v>
      </c>
      <c r="F536" s="2" t="s">
        <v>0</v>
      </c>
      <c r="G536" s="3">
        <v>29.98</v>
      </c>
    </row>
    <row r="537" spans="1:7" ht="29.25" x14ac:dyDescent="0.25">
      <c r="A537" s="2" t="str">
        <f>"00081015"</f>
        <v>00081015</v>
      </c>
      <c r="B537" s="2" t="str">
        <f>"  "</f>
        <v xml:space="preserve">  </v>
      </c>
      <c r="C537" s="1" t="s">
        <v>340</v>
      </c>
      <c r="D537" s="1" t="s">
        <v>0</v>
      </c>
      <c r="E537" s="1" t="s">
        <v>12</v>
      </c>
      <c r="F537" s="2" t="s">
        <v>0</v>
      </c>
      <c r="G537" s="3">
        <v>3.05</v>
      </c>
    </row>
    <row r="538" spans="1:7" ht="29.25" x14ac:dyDescent="0.25">
      <c r="A538" s="2" t="str">
        <f>"00081020"</f>
        <v>00081020</v>
      </c>
      <c r="B538" s="2" t="str">
        <f>"  "</f>
        <v xml:space="preserve">  </v>
      </c>
      <c r="C538" s="1" t="s">
        <v>341</v>
      </c>
      <c r="D538" s="1" t="s">
        <v>0</v>
      </c>
      <c r="E538" s="1" t="s">
        <v>12</v>
      </c>
      <c r="F538" s="2" t="s">
        <v>0</v>
      </c>
      <c r="G538" s="3">
        <v>4.7</v>
      </c>
    </row>
    <row r="539" spans="1:7" ht="72" x14ac:dyDescent="0.25">
      <c r="A539" s="2" t="str">
        <f>"00081025"</f>
        <v>00081025</v>
      </c>
      <c r="B539" s="2" t="str">
        <f>"  "</f>
        <v xml:space="preserve">  </v>
      </c>
      <c r="C539" s="1" t="s">
        <v>342</v>
      </c>
      <c r="D539" s="1" t="s">
        <v>0</v>
      </c>
      <c r="E539" s="1" t="s">
        <v>12</v>
      </c>
      <c r="F539" s="2" t="s">
        <v>0</v>
      </c>
      <c r="G539" s="3">
        <v>8.61</v>
      </c>
    </row>
    <row r="540" spans="1:7" ht="43.5" x14ac:dyDescent="0.25">
      <c r="A540" s="2" t="str">
        <f>"00081050"</f>
        <v>00081050</v>
      </c>
      <c r="B540" s="2" t="str">
        <f>"  "</f>
        <v xml:space="preserve">  </v>
      </c>
      <c r="C540" s="1" t="s">
        <v>343</v>
      </c>
      <c r="D540" s="1" t="s">
        <v>0</v>
      </c>
      <c r="E540" s="1" t="s">
        <v>12</v>
      </c>
      <c r="F540" s="2" t="s">
        <v>0</v>
      </c>
      <c r="G540" s="3">
        <v>3.64</v>
      </c>
    </row>
    <row r="541" spans="1:7" ht="43.5" x14ac:dyDescent="0.25">
      <c r="A541" s="2" t="str">
        <f>"00081105"</f>
        <v>00081105</v>
      </c>
      <c r="B541" s="2" t="str">
        <f>"  "</f>
        <v xml:space="preserve">  </v>
      </c>
      <c r="C541" s="1" t="s">
        <v>344</v>
      </c>
      <c r="D541" s="1" t="s">
        <v>0</v>
      </c>
      <c r="E541" s="1" t="s">
        <v>12</v>
      </c>
      <c r="F541" s="2" t="s">
        <v>0</v>
      </c>
      <c r="G541" s="3">
        <v>122.22</v>
      </c>
    </row>
    <row r="542" spans="1:7" ht="43.5" x14ac:dyDescent="0.25">
      <c r="A542" s="2" t="str">
        <f>"00081105"</f>
        <v>00081105</v>
      </c>
      <c r="B542" s="2" t="str">
        <f>"90"</f>
        <v>90</v>
      </c>
      <c r="C542" s="1" t="s">
        <v>345</v>
      </c>
      <c r="D542" s="1" t="s">
        <v>0</v>
      </c>
      <c r="E542" s="1" t="s">
        <v>14</v>
      </c>
      <c r="F542" s="2" t="s">
        <v>0</v>
      </c>
      <c r="G542" s="17" t="s">
        <v>1769</v>
      </c>
    </row>
    <row r="543" spans="1:7" ht="43.5" x14ac:dyDescent="0.25">
      <c r="A543" s="2" t="str">
        <f>"00081106"</f>
        <v>00081106</v>
      </c>
      <c r="B543" s="2" t="str">
        <f>"  "</f>
        <v xml:space="preserve">  </v>
      </c>
      <c r="C543" s="1" t="s">
        <v>346</v>
      </c>
      <c r="D543" s="1" t="s">
        <v>0</v>
      </c>
      <c r="E543" s="1" t="s">
        <v>12</v>
      </c>
      <c r="F543" s="2" t="s">
        <v>0</v>
      </c>
      <c r="G543" s="3">
        <v>122.22</v>
      </c>
    </row>
    <row r="544" spans="1:7" ht="43.5" x14ac:dyDescent="0.25">
      <c r="A544" s="2" t="str">
        <f>"00081106"</f>
        <v>00081106</v>
      </c>
      <c r="B544" s="2" t="str">
        <f>"90"</f>
        <v>90</v>
      </c>
      <c r="C544" s="1" t="s">
        <v>347</v>
      </c>
      <c r="D544" s="1" t="s">
        <v>0</v>
      </c>
      <c r="E544" s="1" t="s">
        <v>14</v>
      </c>
      <c r="F544" s="2" t="s">
        <v>0</v>
      </c>
      <c r="G544" s="17" t="s">
        <v>1769</v>
      </c>
    </row>
    <row r="545" spans="1:7" ht="43.5" x14ac:dyDescent="0.25">
      <c r="A545" s="2" t="str">
        <f>"00081107"</f>
        <v>00081107</v>
      </c>
      <c r="B545" s="2" t="str">
        <f>"  "</f>
        <v xml:space="preserve">  </v>
      </c>
      <c r="C545" s="1" t="s">
        <v>348</v>
      </c>
      <c r="D545" s="1" t="s">
        <v>0</v>
      </c>
      <c r="E545" s="1" t="s">
        <v>14</v>
      </c>
      <c r="F545" s="2" t="s">
        <v>0</v>
      </c>
      <c r="G545" s="17" t="s">
        <v>1769</v>
      </c>
    </row>
    <row r="546" spans="1:7" ht="43.5" x14ac:dyDescent="0.25">
      <c r="A546" s="2" t="str">
        <f>"00081107"</f>
        <v>00081107</v>
      </c>
      <c r="B546" s="2" t="str">
        <f>"90"</f>
        <v>90</v>
      </c>
      <c r="C546" s="1" t="s">
        <v>348</v>
      </c>
      <c r="D546" s="1" t="s">
        <v>0</v>
      </c>
      <c r="E546" s="1" t="s">
        <v>14</v>
      </c>
      <c r="F546" s="2" t="s">
        <v>0</v>
      </c>
      <c r="G546" s="17" t="s">
        <v>1769</v>
      </c>
    </row>
    <row r="547" spans="1:7" ht="43.5" x14ac:dyDescent="0.25">
      <c r="A547" s="2" t="str">
        <f>"00081108"</f>
        <v>00081108</v>
      </c>
      <c r="B547" s="2" t="str">
        <f>"  "</f>
        <v xml:space="preserve">  </v>
      </c>
      <c r="C547" s="1" t="s">
        <v>349</v>
      </c>
      <c r="D547" s="1" t="s">
        <v>0</v>
      </c>
      <c r="E547" s="1" t="s">
        <v>14</v>
      </c>
      <c r="F547" s="2" t="s">
        <v>0</v>
      </c>
      <c r="G547" s="17" t="s">
        <v>1769</v>
      </c>
    </row>
    <row r="548" spans="1:7" ht="43.5" x14ac:dyDescent="0.25">
      <c r="A548" s="2" t="str">
        <f>"00081108"</f>
        <v>00081108</v>
      </c>
      <c r="B548" s="2" t="str">
        <f>"90"</f>
        <v>90</v>
      </c>
      <c r="C548" s="1" t="s">
        <v>349</v>
      </c>
      <c r="D548" s="1" t="s">
        <v>0</v>
      </c>
      <c r="E548" s="1" t="s">
        <v>14</v>
      </c>
      <c r="F548" s="2" t="s">
        <v>0</v>
      </c>
      <c r="G548" s="17" t="s">
        <v>1769</v>
      </c>
    </row>
    <row r="549" spans="1:7" ht="43.5" x14ac:dyDescent="0.25">
      <c r="A549" s="2" t="str">
        <f>"00081109"</f>
        <v>00081109</v>
      </c>
      <c r="B549" s="2" t="str">
        <f>"  "</f>
        <v xml:space="preserve">  </v>
      </c>
      <c r="C549" s="1" t="s">
        <v>350</v>
      </c>
      <c r="D549" s="1" t="s">
        <v>0</v>
      </c>
      <c r="E549" s="1" t="s">
        <v>14</v>
      </c>
      <c r="F549" s="2" t="s">
        <v>0</v>
      </c>
      <c r="G549" s="17" t="s">
        <v>1769</v>
      </c>
    </row>
    <row r="550" spans="1:7" ht="43.5" x14ac:dyDescent="0.25">
      <c r="A550" s="2" t="str">
        <f>"00081109"</f>
        <v>00081109</v>
      </c>
      <c r="B550" s="2" t="str">
        <f>"90"</f>
        <v>90</v>
      </c>
      <c r="C550" s="1" t="s">
        <v>350</v>
      </c>
      <c r="D550" s="1" t="s">
        <v>0</v>
      </c>
      <c r="E550" s="1" t="s">
        <v>14</v>
      </c>
      <c r="F550" s="2" t="s">
        <v>0</v>
      </c>
      <c r="G550" s="17" t="s">
        <v>1769</v>
      </c>
    </row>
    <row r="551" spans="1:7" ht="43.5" x14ac:dyDescent="0.25">
      <c r="A551" s="2" t="str">
        <f>"00081110"</f>
        <v>00081110</v>
      </c>
      <c r="B551" s="2" t="str">
        <f>"  "</f>
        <v xml:space="preserve">  </v>
      </c>
      <c r="C551" s="1" t="s">
        <v>351</v>
      </c>
      <c r="D551" s="1" t="s">
        <v>0</v>
      </c>
      <c r="E551" s="1" t="s">
        <v>14</v>
      </c>
      <c r="F551" s="2" t="s">
        <v>0</v>
      </c>
      <c r="G551" s="17" t="s">
        <v>1769</v>
      </c>
    </row>
    <row r="552" spans="1:7" ht="43.5" x14ac:dyDescent="0.25">
      <c r="A552" s="2" t="str">
        <f>"00081110"</f>
        <v>00081110</v>
      </c>
      <c r="B552" s="2" t="str">
        <f>"90"</f>
        <v>90</v>
      </c>
      <c r="C552" s="1" t="s">
        <v>351</v>
      </c>
      <c r="D552" s="1" t="s">
        <v>0</v>
      </c>
      <c r="E552" s="1" t="s">
        <v>14</v>
      </c>
      <c r="F552" s="2" t="s">
        <v>0</v>
      </c>
      <c r="G552" s="17" t="s">
        <v>1769</v>
      </c>
    </row>
    <row r="553" spans="1:7" ht="43.5" x14ac:dyDescent="0.25">
      <c r="A553" s="2" t="str">
        <f>"00081111"</f>
        <v>00081111</v>
      </c>
      <c r="B553" s="2" t="str">
        <f>"  "</f>
        <v xml:space="preserve">  </v>
      </c>
      <c r="C553" s="1" t="s">
        <v>352</v>
      </c>
      <c r="D553" s="1" t="s">
        <v>0</v>
      </c>
      <c r="E553" s="1" t="s">
        <v>14</v>
      </c>
      <c r="F553" s="2" t="s">
        <v>0</v>
      </c>
      <c r="G553" s="17" t="s">
        <v>1769</v>
      </c>
    </row>
    <row r="554" spans="1:7" ht="43.5" x14ac:dyDescent="0.25">
      <c r="A554" s="2" t="str">
        <f>"00081111"</f>
        <v>00081111</v>
      </c>
      <c r="B554" s="2" t="str">
        <f>"90"</f>
        <v>90</v>
      </c>
      <c r="C554" s="1" t="s">
        <v>352</v>
      </c>
      <c r="D554" s="1" t="s">
        <v>0</v>
      </c>
      <c r="E554" s="1" t="s">
        <v>14</v>
      </c>
      <c r="F554" s="2" t="s">
        <v>0</v>
      </c>
      <c r="G554" s="17" t="s">
        <v>1769</v>
      </c>
    </row>
    <row r="555" spans="1:7" ht="43.5" x14ac:dyDescent="0.25">
      <c r="A555" s="2" t="str">
        <f>"00081112"</f>
        <v>00081112</v>
      </c>
      <c r="B555" s="2" t="str">
        <f>"  "</f>
        <v xml:space="preserve">  </v>
      </c>
      <c r="C555" s="1" t="s">
        <v>353</v>
      </c>
      <c r="D555" s="1" t="s">
        <v>0</v>
      </c>
      <c r="E555" s="1" t="s">
        <v>14</v>
      </c>
      <c r="F555" s="2" t="s">
        <v>0</v>
      </c>
      <c r="G555" s="17" t="s">
        <v>1769</v>
      </c>
    </row>
    <row r="556" spans="1:7" ht="43.5" x14ac:dyDescent="0.25">
      <c r="A556" s="2" t="str">
        <f>"00081112"</f>
        <v>00081112</v>
      </c>
      <c r="B556" s="2" t="str">
        <f>"90"</f>
        <v>90</v>
      </c>
      <c r="C556" s="1" t="s">
        <v>353</v>
      </c>
      <c r="D556" s="1" t="s">
        <v>0</v>
      </c>
      <c r="E556" s="1" t="s">
        <v>14</v>
      </c>
      <c r="F556" s="2" t="s">
        <v>0</v>
      </c>
      <c r="G556" s="17" t="s">
        <v>1769</v>
      </c>
    </row>
    <row r="557" spans="1:7" ht="72" x14ac:dyDescent="0.25">
      <c r="A557" s="2" t="str">
        <f>"00081120"</f>
        <v>00081120</v>
      </c>
      <c r="B557" s="2" t="str">
        <f>"  "</f>
        <v xml:space="preserve">  </v>
      </c>
      <c r="C557" s="1" t="s">
        <v>354</v>
      </c>
      <c r="D557" s="1" t="s">
        <v>0</v>
      </c>
      <c r="E557" s="1" t="s">
        <v>14</v>
      </c>
      <c r="F557" s="2" t="s">
        <v>0</v>
      </c>
      <c r="G557" s="17" t="s">
        <v>1769</v>
      </c>
    </row>
    <row r="558" spans="1:7" ht="72" x14ac:dyDescent="0.25">
      <c r="A558" s="2" t="str">
        <f>"00081120"</f>
        <v>00081120</v>
      </c>
      <c r="B558" s="2" t="str">
        <f>"90"</f>
        <v>90</v>
      </c>
      <c r="C558" s="1" t="s">
        <v>354</v>
      </c>
      <c r="D558" s="1" t="s">
        <v>0</v>
      </c>
      <c r="E558" s="1" t="s">
        <v>14</v>
      </c>
      <c r="F558" s="2" t="s">
        <v>0</v>
      </c>
      <c r="G558" s="17" t="s">
        <v>1769</v>
      </c>
    </row>
    <row r="559" spans="1:7" ht="72" x14ac:dyDescent="0.25">
      <c r="A559" s="2" t="str">
        <f>"00081121"</f>
        <v>00081121</v>
      </c>
      <c r="B559" s="2" t="str">
        <f>"  "</f>
        <v xml:space="preserve">  </v>
      </c>
      <c r="C559" s="1" t="s">
        <v>355</v>
      </c>
      <c r="D559" s="1" t="s">
        <v>0</v>
      </c>
      <c r="E559" s="1" t="s">
        <v>14</v>
      </c>
      <c r="F559" s="2" t="s">
        <v>0</v>
      </c>
      <c r="G559" s="17" t="s">
        <v>1769</v>
      </c>
    </row>
    <row r="560" spans="1:7" ht="72" x14ac:dyDescent="0.25">
      <c r="A560" s="2" t="str">
        <f>"00081121"</f>
        <v>00081121</v>
      </c>
      <c r="B560" s="2" t="str">
        <f>"90"</f>
        <v>90</v>
      </c>
      <c r="C560" s="1" t="s">
        <v>355</v>
      </c>
      <c r="D560" s="1" t="s">
        <v>0</v>
      </c>
      <c r="E560" s="1" t="s">
        <v>14</v>
      </c>
      <c r="F560" s="2" t="s">
        <v>0</v>
      </c>
      <c r="G560" s="17" t="s">
        <v>1769</v>
      </c>
    </row>
    <row r="561" spans="1:7" ht="72" x14ac:dyDescent="0.25">
      <c r="A561" s="2" t="str">
        <f>"00081162"</f>
        <v>00081162</v>
      </c>
      <c r="B561" s="2" t="str">
        <f t="shared" ref="B561:B567" si="9">"  "</f>
        <v xml:space="preserve">  </v>
      </c>
      <c r="C561" s="1" t="s">
        <v>356</v>
      </c>
      <c r="D561" s="1" t="s">
        <v>0</v>
      </c>
      <c r="E561" s="1" t="s">
        <v>357</v>
      </c>
      <c r="F561" s="2" t="s">
        <v>0</v>
      </c>
      <c r="G561" s="3">
        <v>1824.88</v>
      </c>
    </row>
    <row r="562" spans="1:7" ht="43.5" x14ac:dyDescent="0.25">
      <c r="A562" s="2" t="str">
        <f>"00081163"</f>
        <v>00081163</v>
      </c>
      <c r="B562" s="2" t="str">
        <f t="shared" si="9"/>
        <v xml:space="preserve">  </v>
      </c>
      <c r="C562" s="1" t="s">
        <v>358</v>
      </c>
      <c r="D562" s="1" t="s">
        <v>0</v>
      </c>
      <c r="E562" s="1" t="s">
        <v>12</v>
      </c>
      <c r="F562" s="2" t="s">
        <v>0</v>
      </c>
      <c r="G562" s="3">
        <v>468</v>
      </c>
    </row>
    <row r="563" spans="1:7" ht="57.75" x14ac:dyDescent="0.25">
      <c r="A563" s="2" t="str">
        <f>"00081164"</f>
        <v>00081164</v>
      </c>
      <c r="B563" s="2" t="str">
        <f t="shared" si="9"/>
        <v xml:space="preserve">  </v>
      </c>
      <c r="C563" s="1" t="s">
        <v>359</v>
      </c>
      <c r="D563" s="1" t="s">
        <v>0</v>
      </c>
      <c r="E563" s="1" t="s">
        <v>12</v>
      </c>
      <c r="F563" s="2" t="s">
        <v>0</v>
      </c>
      <c r="G563" s="3">
        <v>584.23</v>
      </c>
    </row>
    <row r="564" spans="1:7" ht="43.5" x14ac:dyDescent="0.25">
      <c r="A564" s="2" t="str">
        <f>"00081165"</f>
        <v>00081165</v>
      </c>
      <c r="B564" s="2" t="str">
        <f t="shared" si="9"/>
        <v xml:space="preserve">  </v>
      </c>
      <c r="C564" s="1" t="s">
        <v>360</v>
      </c>
      <c r="D564" s="1" t="s">
        <v>0</v>
      </c>
      <c r="E564" s="1" t="s">
        <v>12</v>
      </c>
      <c r="F564" s="2" t="s">
        <v>0</v>
      </c>
      <c r="G564" s="3">
        <v>282.88</v>
      </c>
    </row>
    <row r="565" spans="1:7" ht="57.75" x14ac:dyDescent="0.25">
      <c r="A565" s="2" t="str">
        <f>"00081166"</f>
        <v>00081166</v>
      </c>
      <c r="B565" s="2" t="str">
        <f t="shared" si="9"/>
        <v xml:space="preserve">  </v>
      </c>
      <c r="C565" s="1" t="s">
        <v>361</v>
      </c>
      <c r="D565" s="1" t="s">
        <v>0</v>
      </c>
      <c r="E565" s="1" t="s">
        <v>12</v>
      </c>
      <c r="F565" s="2" t="s">
        <v>0</v>
      </c>
      <c r="G565" s="3">
        <v>301.35000000000002</v>
      </c>
    </row>
    <row r="566" spans="1:7" ht="57.75" x14ac:dyDescent="0.25">
      <c r="A566" s="2" t="str">
        <f>"00081167"</f>
        <v>00081167</v>
      </c>
      <c r="B566" s="2" t="str">
        <f t="shared" si="9"/>
        <v xml:space="preserve">  </v>
      </c>
      <c r="C566" s="1" t="s">
        <v>362</v>
      </c>
      <c r="D566" s="1" t="s">
        <v>0</v>
      </c>
      <c r="E566" s="1" t="s">
        <v>12</v>
      </c>
      <c r="F566" s="2" t="s">
        <v>0</v>
      </c>
      <c r="G566" s="3">
        <v>282.88</v>
      </c>
    </row>
    <row r="567" spans="1:7" ht="43.5" x14ac:dyDescent="0.25">
      <c r="A567" s="2" t="str">
        <f>"00081168"</f>
        <v>00081168</v>
      </c>
      <c r="B567" s="2" t="str">
        <f t="shared" si="9"/>
        <v xml:space="preserve">  </v>
      </c>
      <c r="C567" s="1" t="s">
        <v>363</v>
      </c>
      <c r="D567" s="1" t="s">
        <v>0</v>
      </c>
      <c r="E567" s="1" t="s">
        <v>14</v>
      </c>
      <c r="F567" s="2" t="s">
        <v>0</v>
      </c>
      <c r="G567" s="17" t="s">
        <v>1769</v>
      </c>
    </row>
    <row r="568" spans="1:7" ht="43.5" x14ac:dyDescent="0.25">
      <c r="A568" s="2" t="str">
        <f>"00081168"</f>
        <v>00081168</v>
      </c>
      <c r="B568" s="2" t="str">
        <f>"90"</f>
        <v>90</v>
      </c>
      <c r="C568" s="1" t="s">
        <v>363</v>
      </c>
      <c r="D568" s="1" t="s">
        <v>0</v>
      </c>
      <c r="E568" s="1" t="s">
        <v>14</v>
      </c>
      <c r="F568" s="2" t="s">
        <v>0</v>
      </c>
      <c r="G568" s="17" t="s">
        <v>1769</v>
      </c>
    </row>
    <row r="569" spans="1:7" ht="57.75" x14ac:dyDescent="0.25">
      <c r="A569" s="2" t="str">
        <f>"00081170"</f>
        <v>00081170</v>
      </c>
      <c r="B569" s="2" t="str">
        <f t="shared" ref="B569:B574" si="10">"  "</f>
        <v xml:space="preserve">  </v>
      </c>
      <c r="C569" s="1" t="s">
        <v>364</v>
      </c>
      <c r="D569" s="1" t="s">
        <v>0</v>
      </c>
      <c r="E569" s="1" t="s">
        <v>365</v>
      </c>
      <c r="F569" s="2" t="s">
        <v>0</v>
      </c>
      <c r="G569" s="3">
        <v>300</v>
      </c>
    </row>
    <row r="570" spans="1:7" ht="43.5" x14ac:dyDescent="0.25">
      <c r="A570" s="2" t="str">
        <f>"00081171"</f>
        <v>00081171</v>
      </c>
      <c r="B570" s="2" t="str">
        <f t="shared" si="10"/>
        <v xml:space="preserve">  </v>
      </c>
      <c r="C570" s="1" t="s">
        <v>366</v>
      </c>
      <c r="D570" s="1" t="s">
        <v>0</v>
      </c>
      <c r="E570" s="1" t="s">
        <v>14</v>
      </c>
      <c r="F570" s="2" t="s">
        <v>0</v>
      </c>
      <c r="G570" s="17" t="s">
        <v>1769</v>
      </c>
    </row>
    <row r="571" spans="1:7" ht="57.75" x14ac:dyDescent="0.25">
      <c r="A571" s="2" t="str">
        <f>"00081172"</f>
        <v>00081172</v>
      </c>
      <c r="B571" s="2" t="str">
        <f t="shared" si="10"/>
        <v xml:space="preserve">  </v>
      </c>
      <c r="C571" s="1" t="s">
        <v>367</v>
      </c>
      <c r="D571" s="1" t="s">
        <v>0</v>
      </c>
      <c r="E571" s="1" t="s">
        <v>14</v>
      </c>
      <c r="F571" s="2" t="s">
        <v>0</v>
      </c>
      <c r="G571" s="17" t="s">
        <v>1769</v>
      </c>
    </row>
    <row r="572" spans="1:7" ht="43.5" x14ac:dyDescent="0.25">
      <c r="A572" s="2" t="str">
        <f>"00081173"</f>
        <v>00081173</v>
      </c>
      <c r="B572" s="2" t="str">
        <f t="shared" si="10"/>
        <v xml:space="preserve">  </v>
      </c>
      <c r="C572" s="1" t="s">
        <v>368</v>
      </c>
      <c r="D572" s="1" t="s">
        <v>0</v>
      </c>
      <c r="E572" s="1" t="s">
        <v>14</v>
      </c>
      <c r="F572" s="2" t="s">
        <v>0</v>
      </c>
      <c r="G572" s="17" t="s">
        <v>1769</v>
      </c>
    </row>
    <row r="573" spans="1:7" ht="57.75" x14ac:dyDescent="0.25">
      <c r="A573" s="2" t="str">
        <f>"00081174"</f>
        <v>00081174</v>
      </c>
      <c r="B573" s="2" t="str">
        <f t="shared" si="10"/>
        <v xml:space="preserve">  </v>
      </c>
      <c r="C573" s="1" t="s">
        <v>369</v>
      </c>
      <c r="D573" s="1" t="s">
        <v>0</v>
      </c>
      <c r="E573" s="1" t="s">
        <v>14</v>
      </c>
      <c r="F573" s="2" t="s">
        <v>0</v>
      </c>
      <c r="G573" s="17" t="s">
        <v>1769</v>
      </c>
    </row>
    <row r="574" spans="1:7" ht="72" x14ac:dyDescent="0.25">
      <c r="A574" s="2" t="str">
        <f>"00081175"</f>
        <v>00081175</v>
      </c>
      <c r="B574" s="2" t="str">
        <f t="shared" si="10"/>
        <v xml:space="preserve">  </v>
      </c>
      <c r="C574" s="1" t="s">
        <v>370</v>
      </c>
      <c r="D574" s="1" t="s">
        <v>0</v>
      </c>
      <c r="E574" s="1" t="s">
        <v>14</v>
      </c>
      <c r="F574" s="2" t="s">
        <v>0</v>
      </c>
      <c r="G574" s="17" t="s">
        <v>1769</v>
      </c>
    </row>
    <row r="575" spans="1:7" ht="72" x14ac:dyDescent="0.25">
      <c r="A575" s="2" t="str">
        <f>"00081175"</f>
        <v>00081175</v>
      </c>
      <c r="B575" s="2" t="str">
        <f>"90"</f>
        <v>90</v>
      </c>
      <c r="C575" s="1" t="s">
        <v>371</v>
      </c>
      <c r="D575" s="1" t="s">
        <v>0</v>
      </c>
      <c r="E575" s="1" t="s">
        <v>14</v>
      </c>
      <c r="F575" s="2" t="s">
        <v>0</v>
      </c>
      <c r="G575" s="17" t="s">
        <v>1769</v>
      </c>
    </row>
    <row r="576" spans="1:7" ht="72" x14ac:dyDescent="0.25">
      <c r="A576" s="2" t="str">
        <f>"00081176"</f>
        <v>00081176</v>
      </c>
      <c r="B576" s="2" t="str">
        <f>"  "</f>
        <v xml:space="preserve">  </v>
      </c>
      <c r="C576" s="1" t="s">
        <v>372</v>
      </c>
      <c r="D576" s="1" t="s">
        <v>0</v>
      </c>
      <c r="E576" s="1" t="s">
        <v>14</v>
      </c>
      <c r="F576" s="2" t="s">
        <v>0</v>
      </c>
      <c r="G576" s="17" t="s">
        <v>1769</v>
      </c>
    </row>
    <row r="577" spans="1:7" ht="72" x14ac:dyDescent="0.25">
      <c r="A577" s="2" t="str">
        <f>"00081176"</f>
        <v>00081176</v>
      </c>
      <c r="B577" s="2" t="str">
        <f>"90"</f>
        <v>90</v>
      </c>
      <c r="C577" s="1" t="s">
        <v>373</v>
      </c>
      <c r="D577" s="1" t="s">
        <v>0</v>
      </c>
      <c r="E577" s="1" t="s">
        <v>14</v>
      </c>
      <c r="F577" s="2" t="s">
        <v>0</v>
      </c>
      <c r="G577" s="17" t="s">
        <v>1769</v>
      </c>
    </row>
    <row r="578" spans="1:7" ht="29.25" x14ac:dyDescent="0.25">
      <c r="A578" s="2" t="str">
        <f>"00081177"</f>
        <v>00081177</v>
      </c>
      <c r="B578" s="2" t="str">
        <f t="shared" ref="B578:B592" si="11">"  "</f>
        <v xml:space="preserve">  </v>
      </c>
      <c r="C578" s="1" t="s">
        <v>374</v>
      </c>
      <c r="D578" s="1" t="s">
        <v>0</v>
      </c>
      <c r="E578" s="1" t="s">
        <v>14</v>
      </c>
      <c r="F578" s="2" t="s">
        <v>0</v>
      </c>
      <c r="G578" s="17" t="s">
        <v>1769</v>
      </c>
    </row>
    <row r="579" spans="1:7" ht="29.25" x14ac:dyDescent="0.25">
      <c r="A579" s="2" t="str">
        <f>"00081178"</f>
        <v>00081178</v>
      </c>
      <c r="B579" s="2" t="str">
        <f t="shared" si="11"/>
        <v xml:space="preserve">  </v>
      </c>
      <c r="C579" s="1" t="s">
        <v>375</v>
      </c>
      <c r="D579" s="1" t="s">
        <v>0</v>
      </c>
      <c r="E579" s="1" t="s">
        <v>14</v>
      </c>
      <c r="F579" s="2" t="s">
        <v>0</v>
      </c>
      <c r="G579" s="17" t="s">
        <v>1769</v>
      </c>
    </row>
    <row r="580" spans="1:7" ht="29.25" x14ac:dyDescent="0.25">
      <c r="A580" s="2" t="str">
        <f>"00081179"</f>
        <v>00081179</v>
      </c>
      <c r="B580" s="2" t="str">
        <f t="shared" si="11"/>
        <v xml:space="preserve">  </v>
      </c>
      <c r="C580" s="1" t="s">
        <v>376</v>
      </c>
      <c r="D580" s="1" t="s">
        <v>0</v>
      </c>
      <c r="E580" s="1" t="s">
        <v>14</v>
      </c>
      <c r="F580" s="2" t="s">
        <v>0</v>
      </c>
      <c r="G580" s="17" t="s">
        <v>1769</v>
      </c>
    </row>
    <row r="581" spans="1:7" ht="29.25" x14ac:dyDescent="0.25">
      <c r="A581" s="2" t="str">
        <f>"00081180"</f>
        <v>00081180</v>
      </c>
      <c r="B581" s="2" t="str">
        <f t="shared" si="11"/>
        <v xml:space="preserve">  </v>
      </c>
      <c r="C581" s="1" t="s">
        <v>377</v>
      </c>
      <c r="D581" s="1" t="s">
        <v>0</v>
      </c>
      <c r="E581" s="1" t="s">
        <v>14</v>
      </c>
      <c r="F581" s="2" t="s">
        <v>0</v>
      </c>
      <c r="G581" s="17" t="s">
        <v>1769</v>
      </c>
    </row>
    <row r="582" spans="1:7" ht="29.25" x14ac:dyDescent="0.25">
      <c r="A582" s="2" t="str">
        <f>"00081181"</f>
        <v>00081181</v>
      </c>
      <c r="B582" s="2" t="str">
        <f t="shared" si="11"/>
        <v xml:space="preserve">  </v>
      </c>
      <c r="C582" s="1" t="s">
        <v>378</v>
      </c>
      <c r="D582" s="1" t="s">
        <v>0</v>
      </c>
      <c r="E582" s="1" t="s">
        <v>14</v>
      </c>
      <c r="F582" s="2" t="s">
        <v>0</v>
      </c>
      <c r="G582" s="17" t="s">
        <v>1769</v>
      </c>
    </row>
    <row r="583" spans="1:7" ht="57.75" x14ac:dyDescent="0.25">
      <c r="A583" s="2" t="str">
        <f>"00081182"</f>
        <v>00081182</v>
      </c>
      <c r="B583" s="2" t="str">
        <f t="shared" si="11"/>
        <v xml:space="preserve">  </v>
      </c>
      <c r="C583" s="1" t="s">
        <v>379</v>
      </c>
      <c r="D583" s="1" t="s">
        <v>0</v>
      </c>
      <c r="E583" s="1" t="s">
        <v>14</v>
      </c>
      <c r="F583" s="2" t="s">
        <v>0</v>
      </c>
      <c r="G583" s="17" t="s">
        <v>1769</v>
      </c>
    </row>
    <row r="584" spans="1:7" ht="29.25" x14ac:dyDescent="0.25">
      <c r="A584" s="2" t="str">
        <f>"00081183"</f>
        <v>00081183</v>
      </c>
      <c r="B584" s="2" t="str">
        <f t="shared" si="11"/>
        <v xml:space="preserve">  </v>
      </c>
      <c r="C584" s="1" t="s">
        <v>380</v>
      </c>
      <c r="D584" s="1" t="s">
        <v>0</v>
      </c>
      <c r="E584" s="1" t="s">
        <v>14</v>
      </c>
      <c r="F584" s="2" t="s">
        <v>0</v>
      </c>
      <c r="G584" s="17" t="s">
        <v>1769</v>
      </c>
    </row>
    <row r="585" spans="1:7" ht="57.75" x14ac:dyDescent="0.25">
      <c r="A585" s="2" t="str">
        <f>"00081184"</f>
        <v>00081184</v>
      </c>
      <c r="B585" s="2" t="str">
        <f t="shared" si="11"/>
        <v xml:space="preserve">  </v>
      </c>
      <c r="C585" s="1" t="s">
        <v>381</v>
      </c>
      <c r="D585" s="1" t="s">
        <v>0</v>
      </c>
      <c r="E585" s="1" t="s">
        <v>14</v>
      </c>
      <c r="F585" s="2" t="s">
        <v>0</v>
      </c>
      <c r="G585" s="17" t="s">
        <v>1769</v>
      </c>
    </row>
    <row r="586" spans="1:7" ht="57.75" x14ac:dyDescent="0.25">
      <c r="A586" s="2" t="str">
        <f>"00081185"</f>
        <v>00081185</v>
      </c>
      <c r="B586" s="2" t="str">
        <f t="shared" si="11"/>
        <v xml:space="preserve">  </v>
      </c>
      <c r="C586" s="1" t="s">
        <v>382</v>
      </c>
      <c r="D586" s="1" t="s">
        <v>0</v>
      </c>
      <c r="E586" s="1" t="s">
        <v>14</v>
      </c>
      <c r="F586" s="2" t="s">
        <v>0</v>
      </c>
      <c r="G586" s="17" t="s">
        <v>1769</v>
      </c>
    </row>
    <row r="587" spans="1:7" ht="57.75" x14ac:dyDescent="0.25">
      <c r="A587" s="2" t="str">
        <f>"00081186"</f>
        <v>00081186</v>
      </c>
      <c r="B587" s="2" t="str">
        <f t="shared" si="11"/>
        <v xml:space="preserve">  </v>
      </c>
      <c r="C587" s="1" t="s">
        <v>1774</v>
      </c>
      <c r="D587" s="1" t="s">
        <v>0</v>
      </c>
      <c r="E587" s="1" t="s">
        <v>14</v>
      </c>
      <c r="F587" s="2" t="s">
        <v>0</v>
      </c>
      <c r="G587" s="17" t="s">
        <v>1769</v>
      </c>
    </row>
    <row r="588" spans="1:7" ht="57.75" x14ac:dyDescent="0.25">
      <c r="A588" s="2" t="str">
        <f>"00081187"</f>
        <v>00081187</v>
      </c>
      <c r="B588" s="2" t="str">
        <f t="shared" si="11"/>
        <v xml:space="preserve">  </v>
      </c>
      <c r="C588" s="1" t="s">
        <v>1775</v>
      </c>
      <c r="D588" s="1" t="s">
        <v>0</v>
      </c>
      <c r="E588" s="1" t="s">
        <v>14</v>
      </c>
      <c r="F588" s="2" t="s">
        <v>0</v>
      </c>
      <c r="G588" s="17" t="s">
        <v>1769</v>
      </c>
    </row>
    <row r="589" spans="1:7" ht="29.25" x14ac:dyDescent="0.25">
      <c r="A589" s="2" t="str">
        <f>"00081188"</f>
        <v>00081188</v>
      </c>
      <c r="B589" s="2" t="str">
        <f t="shared" si="11"/>
        <v xml:space="preserve">  </v>
      </c>
      <c r="C589" s="1" t="s">
        <v>383</v>
      </c>
      <c r="D589" s="1" t="s">
        <v>0</v>
      </c>
      <c r="E589" s="1" t="s">
        <v>14</v>
      </c>
      <c r="F589" s="2" t="s">
        <v>0</v>
      </c>
      <c r="G589" s="17" t="s">
        <v>1769</v>
      </c>
    </row>
    <row r="590" spans="1:7" ht="29.25" x14ac:dyDescent="0.25">
      <c r="A590" s="2" t="str">
        <f>"00081189"</f>
        <v>00081189</v>
      </c>
      <c r="B590" s="2" t="str">
        <f t="shared" si="11"/>
        <v xml:space="preserve">  </v>
      </c>
      <c r="C590" s="1" t="s">
        <v>384</v>
      </c>
      <c r="D590" s="1" t="s">
        <v>0</v>
      </c>
      <c r="E590" s="1" t="s">
        <v>14</v>
      </c>
      <c r="F590" s="2" t="s">
        <v>0</v>
      </c>
      <c r="G590" s="17" t="s">
        <v>1769</v>
      </c>
    </row>
    <row r="591" spans="1:7" ht="43.5" x14ac:dyDescent="0.25">
      <c r="A591" s="2" t="str">
        <f>"00081190"</f>
        <v>00081190</v>
      </c>
      <c r="B591" s="2" t="str">
        <f t="shared" si="11"/>
        <v xml:space="preserve">  </v>
      </c>
      <c r="C591" s="1" t="s">
        <v>385</v>
      </c>
      <c r="D591" s="1" t="s">
        <v>0</v>
      </c>
      <c r="E591" s="1" t="s">
        <v>14</v>
      </c>
      <c r="F591" s="2" t="s">
        <v>0</v>
      </c>
      <c r="G591" s="17" t="s">
        <v>1769</v>
      </c>
    </row>
    <row r="592" spans="1:7" ht="43.5" x14ac:dyDescent="0.25">
      <c r="A592" s="2" t="str">
        <f>"00081191"</f>
        <v>00081191</v>
      </c>
      <c r="B592" s="2" t="str">
        <f t="shared" si="11"/>
        <v xml:space="preserve">  </v>
      </c>
      <c r="C592" s="1" t="s">
        <v>386</v>
      </c>
      <c r="D592" s="1" t="s">
        <v>0</v>
      </c>
      <c r="E592" s="1" t="s">
        <v>14</v>
      </c>
      <c r="F592" s="2" t="s">
        <v>0</v>
      </c>
      <c r="G592" s="17" t="s">
        <v>1769</v>
      </c>
    </row>
    <row r="593" spans="1:7" ht="43.5" x14ac:dyDescent="0.25">
      <c r="A593" s="2" t="str">
        <f>"00081191"</f>
        <v>00081191</v>
      </c>
      <c r="B593" s="2" t="str">
        <f>"90"</f>
        <v>90</v>
      </c>
      <c r="C593" s="1" t="s">
        <v>386</v>
      </c>
      <c r="D593" s="1" t="s">
        <v>0</v>
      </c>
      <c r="E593" s="1" t="s">
        <v>14</v>
      </c>
      <c r="F593" s="2" t="s">
        <v>0</v>
      </c>
      <c r="G593" s="17" t="s">
        <v>1769</v>
      </c>
    </row>
    <row r="594" spans="1:7" ht="43.5" x14ac:dyDescent="0.25">
      <c r="A594" s="2" t="str">
        <f>"00081192"</f>
        <v>00081192</v>
      </c>
      <c r="B594" s="2" t="str">
        <f>"  "</f>
        <v xml:space="preserve">  </v>
      </c>
      <c r="C594" s="1" t="s">
        <v>387</v>
      </c>
      <c r="D594" s="1" t="s">
        <v>0</v>
      </c>
      <c r="E594" s="1" t="s">
        <v>14</v>
      </c>
      <c r="F594" s="2" t="s">
        <v>0</v>
      </c>
      <c r="G594" s="17" t="s">
        <v>1769</v>
      </c>
    </row>
    <row r="595" spans="1:7" ht="43.5" x14ac:dyDescent="0.25">
      <c r="A595" s="2" t="str">
        <f>"00081192"</f>
        <v>00081192</v>
      </c>
      <c r="B595" s="2" t="str">
        <f>"90"</f>
        <v>90</v>
      </c>
      <c r="C595" s="1" t="s">
        <v>387</v>
      </c>
      <c r="D595" s="1" t="s">
        <v>0</v>
      </c>
      <c r="E595" s="1" t="s">
        <v>14</v>
      </c>
      <c r="F595" s="2" t="s">
        <v>0</v>
      </c>
      <c r="G595" s="17" t="s">
        <v>1769</v>
      </c>
    </row>
    <row r="596" spans="1:7" ht="43.5" x14ac:dyDescent="0.25">
      <c r="A596" s="2" t="str">
        <f>"00081193"</f>
        <v>00081193</v>
      </c>
      <c r="B596" s="2" t="str">
        <f>"  "</f>
        <v xml:space="preserve">  </v>
      </c>
      <c r="C596" s="1" t="s">
        <v>388</v>
      </c>
      <c r="D596" s="1" t="s">
        <v>0</v>
      </c>
      <c r="E596" s="1" t="s">
        <v>14</v>
      </c>
      <c r="F596" s="2" t="s">
        <v>0</v>
      </c>
      <c r="G596" s="17" t="s">
        <v>1769</v>
      </c>
    </row>
    <row r="597" spans="1:7" ht="43.5" x14ac:dyDescent="0.25">
      <c r="A597" s="2" t="str">
        <f>"00081193"</f>
        <v>00081193</v>
      </c>
      <c r="B597" s="2" t="str">
        <f>"90"</f>
        <v>90</v>
      </c>
      <c r="C597" s="1" t="s">
        <v>388</v>
      </c>
      <c r="D597" s="1" t="s">
        <v>0</v>
      </c>
      <c r="E597" s="1" t="s">
        <v>14</v>
      </c>
      <c r="F597" s="2" t="s">
        <v>0</v>
      </c>
      <c r="G597" s="17" t="s">
        <v>1769</v>
      </c>
    </row>
    <row r="598" spans="1:7" ht="43.5" x14ac:dyDescent="0.25">
      <c r="A598" s="2" t="str">
        <f>"00081194"</f>
        <v>00081194</v>
      </c>
      <c r="B598" s="2" t="str">
        <f>"  "</f>
        <v xml:space="preserve">  </v>
      </c>
      <c r="C598" s="1" t="s">
        <v>389</v>
      </c>
      <c r="D598" s="1" t="s">
        <v>0</v>
      </c>
      <c r="E598" s="1" t="s">
        <v>14</v>
      </c>
      <c r="F598" s="2" t="s">
        <v>0</v>
      </c>
      <c r="G598" s="17" t="s">
        <v>1769</v>
      </c>
    </row>
    <row r="599" spans="1:7" ht="43.5" x14ac:dyDescent="0.25">
      <c r="A599" s="2" t="str">
        <f>"00081194"</f>
        <v>00081194</v>
      </c>
      <c r="B599" s="2" t="str">
        <f>"90"</f>
        <v>90</v>
      </c>
      <c r="C599" s="1" t="s">
        <v>389</v>
      </c>
      <c r="D599" s="1" t="s">
        <v>0</v>
      </c>
      <c r="E599" s="1" t="s">
        <v>14</v>
      </c>
      <c r="F599" s="2" t="s">
        <v>0</v>
      </c>
      <c r="G599" s="17" t="s">
        <v>1769</v>
      </c>
    </row>
    <row r="600" spans="1:7" ht="57.75" x14ac:dyDescent="0.25">
      <c r="A600" s="2" t="str">
        <f>"00081200"</f>
        <v>00081200</v>
      </c>
      <c r="B600" s="2" t="str">
        <f t="shared" ref="B600:B626" si="12">"  "</f>
        <v xml:space="preserve">  </v>
      </c>
      <c r="C600" s="1" t="s">
        <v>390</v>
      </c>
      <c r="D600" s="1" t="s">
        <v>0</v>
      </c>
      <c r="E600" s="1" t="s">
        <v>12</v>
      </c>
      <c r="F600" s="2" t="s">
        <v>0</v>
      </c>
      <c r="G600" s="3">
        <v>47.25</v>
      </c>
    </row>
    <row r="601" spans="1:7" ht="57.75" x14ac:dyDescent="0.25">
      <c r="A601" s="2" t="str">
        <f>"00081201"</f>
        <v>00081201</v>
      </c>
      <c r="B601" s="2" t="str">
        <f t="shared" si="12"/>
        <v xml:space="preserve">  </v>
      </c>
      <c r="C601" s="1" t="s">
        <v>391</v>
      </c>
      <c r="D601" s="1" t="s">
        <v>0</v>
      </c>
      <c r="E601" s="1" t="s">
        <v>14</v>
      </c>
      <c r="F601" s="2" t="s">
        <v>0</v>
      </c>
      <c r="G601" s="17" t="s">
        <v>1769</v>
      </c>
    </row>
    <row r="602" spans="1:7" ht="57.75" x14ac:dyDescent="0.25">
      <c r="A602" s="2" t="str">
        <f>"00081202"</f>
        <v>00081202</v>
      </c>
      <c r="B602" s="2" t="str">
        <f t="shared" si="12"/>
        <v xml:space="preserve">  </v>
      </c>
      <c r="C602" s="1" t="s">
        <v>392</v>
      </c>
      <c r="D602" s="1" t="s">
        <v>0</v>
      </c>
      <c r="E602" s="1" t="s">
        <v>14</v>
      </c>
      <c r="F602" s="2" t="s">
        <v>0</v>
      </c>
      <c r="G602" s="17" t="s">
        <v>1769</v>
      </c>
    </row>
    <row r="603" spans="1:7" ht="72" x14ac:dyDescent="0.25">
      <c r="A603" s="2" t="str">
        <f>"00081203"</f>
        <v>00081203</v>
      </c>
      <c r="B603" s="2" t="str">
        <f t="shared" si="12"/>
        <v xml:space="preserve">  </v>
      </c>
      <c r="C603" s="1" t="s">
        <v>393</v>
      </c>
      <c r="D603" s="1" t="s">
        <v>0</v>
      </c>
      <c r="E603" s="1" t="s">
        <v>14</v>
      </c>
      <c r="F603" s="2" t="s">
        <v>0</v>
      </c>
      <c r="G603" s="17" t="s">
        <v>1769</v>
      </c>
    </row>
    <row r="604" spans="1:7" ht="57.75" x14ac:dyDescent="0.25">
      <c r="A604" s="2" t="str">
        <f>"00081204"</f>
        <v>00081204</v>
      </c>
      <c r="B604" s="2" t="str">
        <f t="shared" si="12"/>
        <v xml:space="preserve">  </v>
      </c>
      <c r="C604" s="1" t="s">
        <v>394</v>
      </c>
      <c r="D604" s="1" t="s">
        <v>0</v>
      </c>
      <c r="E604" s="1" t="s">
        <v>14</v>
      </c>
      <c r="F604" s="2" t="s">
        <v>0</v>
      </c>
      <c r="G604" s="17" t="s">
        <v>1769</v>
      </c>
    </row>
    <row r="605" spans="1:7" ht="100.5" x14ac:dyDescent="0.25">
      <c r="A605" s="2" t="str">
        <f>"00081205"</f>
        <v>00081205</v>
      </c>
      <c r="B605" s="2" t="str">
        <f t="shared" si="12"/>
        <v xml:space="preserve">  </v>
      </c>
      <c r="C605" s="1" t="s">
        <v>395</v>
      </c>
      <c r="D605" s="1" t="s">
        <v>0</v>
      </c>
      <c r="E605" s="1" t="s">
        <v>396</v>
      </c>
      <c r="F605" s="2" t="s">
        <v>0</v>
      </c>
      <c r="G605" s="3">
        <v>94.99</v>
      </c>
    </row>
    <row r="606" spans="1:7" ht="86.25" x14ac:dyDescent="0.25">
      <c r="A606" s="2" t="str">
        <f>"00081206"</f>
        <v>00081206</v>
      </c>
      <c r="B606" s="2" t="str">
        <f t="shared" si="12"/>
        <v xml:space="preserve">  </v>
      </c>
      <c r="C606" s="1" t="s">
        <v>397</v>
      </c>
      <c r="D606" s="1" t="s">
        <v>0</v>
      </c>
      <c r="E606" s="1" t="s">
        <v>398</v>
      </c>
      <c r="F606" s="2" t="s">
        <v>0</v>
      </c>
      <c r="G606" s="3">
        <v>163.96</v>
      </c>
    </row>
    <row r="607" spans="1:7" ht="86.25" x14ac:dyDescent="0.25">
      <c r="A607" s="2" t="str">
        <f>"00081207"</f>
        <v>00081207</v>
      </c>
      <c r="B607" s="2" t="str">
        <f t="shared" si="12"/>
        <v xml:space="preserve">  </v>
      </c>
      <c r="C607" s="1" t="s">
        <v>399</v>
      </c>
      <c r="D607" s="1" t="s">
        <v>0</v>
      </c>
      <c r="E607" s="1" t="s">
        <v>396</v>
      </c>
      <c r="F607" s="2" t="s">
        <v>0</v>
      </c>
      <c r="G607" s="3">
        <v>144.84</v>
      </c>
    </row>
    <row r="608" spans="1:7" ht="86.25" x14ac:dyDescent="0.25">
      <c r="A608" s="2" t="str">
        <f>"00081208"</f>
        <v>00081208</v>
      </c>
      <c r="B608" s="2" t="str">
        <f t="shared" si="12"/>
        <v xml:space="preserve">  </v>
      </c>
      <c r="C608" s="1" t="s">
        <v>400</v>
      </c>
      <c r="D608" s="1" t="s">
        <v>0</v>
      </c>
      <c r="E608" s="1" t="s">
        <v>12</v>
      </c>
      <c r="F608" s="2" t="s">
        <v>0</v>
      </c>
      <c r="G608" s="3">
        <v>214.62</v>
      </c>
    </row>
    <row r="609" spans="1:7" ht="72" x14ac:dyDescent="0.25">
      <c r="A609" s="2" t="str">
        <f>"00081209"</f>
        <v>00081209</v>
      </c>
      <c r="B609" s="2" t="str">
        <f t="shared" si="12"/>
        <v xml:space="preserve">  </v>
      </c>
      <c r="C609" s="1" t="s">
        <v>401</v>
      </c>
      <c r="D609" s="1" t="s">
        <v>0</v>
      </c>
      <c r="E609" s="1" t="s">
        <v>402</v>
      </c>
      <c r="F609" s="2" t="s">
        <v>0</v>
      </c>
      <c r="G609" s="3">
        <v>39.31</v>
      </c>
    </row>
    <row r="610" spans="1:7" ht="86.25" x14ac:dyDescent="0.25">
      <c r="A610" s="2" t="str">
        <f>"00081210"</f>
        <v>00081210</v>
      </c>
      <c r="B610" s="2" t="str">
        <f t="shared" si="12"/>
        <v xml:space="preserve">  </v>
      </c>
      <c r="C610" s="1" t="s">
        <v>403</v>
      </c>
      <c r="D610" s="1" t="s">
        <v>0</v>
      </c>
      <c r="E610" s="1" t="s">
        <v>396</v>
      </c>
      <c r="F610" s="2" t="s">
        <v>0</v>
      </c>
      <c r="G610" s="3">
        <v>175.4</v>
      </c>
    </row>
    <row r="611" spans="1:7" ht="114.75" x14ac:dyDescent="0.25">
      <c r="A611" s="2" t="str">
        <f>"00081212"</f>
        <v>00081212</v>
      </c>
      <c r="B611" s="2" t="str">
        <f t="shared" si="12"/>
        <v xml:space="preserve">  </v>
      </c>
      <c r="C611" s="1" t="s">
        <v>404</v>
      </c>
      <c r="D611" s="1" t="s">
        <v>0</v>
      </c>
      <c r="E611" s="1" t="s">
        <v>405</v>
      </c>
      <c r="F611" s="2" t="s">
        <v>0</v>
      </c>
      <c r="G611" s="3">
        <v>440</v>
      </c>
    </row>
    <row r="612" spans="1:7" ht="72" x14ac:dyDescent="0.25">
      <c r="A612" s="2" t="str">
        <f>"00081215"</f>
        <v>00081215</v>
      </c>
      <c r="B612" s="2" t="str">
        <f t="shared" si="12"/>
        <v xml:space="preserve">  </v>
      </c>
      <c r="C612" s="1" t="s">
        <v>406</v>
      </c>
      <c r="D612" s="1" t="s">
        <v>0</v>
      </c>
      <c r="E612" s="1" t="s">
        <v>407</v>
      </c>
      <c r="F612" s="2" t="s">
        <v>0</v>
      </c>
      <c r="G612" s="3">
        <v>375.25</v>
      </c>
    </row>
    <row r="613" spans="1:7" ht="114.75" x14ac:dyDescent="0.25">
      <c r="A613" s="2" t="str">
        <f>"00081217"</f>
        <v>00081217</v>
      </c>
      <c r="B613" s="2" t="str">
        <f t="shared" si="12"/>
        <v xml:space="preserve">  </v>
      </c>
      <c r="C613" s="1" t="s">
        <v>408</v>
      </c>
      <c r="D613" s="1" t="s">
        <v>0</v>
      </c>
      <c r="E613" s="1" t="s">
        <v>409</v>
      </c>
      <c r="F613" s="2" t="s">
        <v>0</v>
      </c>
      <c r="G613" s="3">
        <v>375.25</v>
      </c>
    </row>
    <row r="614" spans="1:7" ht="57.75" x14ac:dyDescent="0.25">
      <c r="A614" s="2" t="str">
        <f>"00081218"</f>
        <v>00081218</v>
      </c>
      <c r="B614" s="2" t="str">
        <f t="shared" si="12"/>
        <v xml:space="preserve">  </v>
      </c>
      <c r="C614" s="1" t="s">
        <v>410</v>
      </c>
      <c r="D614" s="1" t="s">
        <v>0</v>
      </c>
      <c r="E614" s="1" t="s">
        <v>12</v>
      </c>
      <c r="F614" s="2" t="s">
        <v>0</v>
      </c>
      <c r="G614" s="3">
        <v>241.9</v>
      </c>
    </row>
    <row r="615" spans="1:7" ht="43.5" x14ac:dyDescent="0.25">
      <c r="A615" s="2" t="str">
        <f>"00081219"</f>
        <v>00081219</v>
      </c>
      <c r="B615" s="2" t="str">
        <f t="shared" si="12"/>
        <v xml:space="preserve">  </v>
      </c>
      <c r="C615" s="1" t="s">
        <v>411</v>
      </c>
      <c r="D615" s="1" t="s">
        <v>0</v>
      </c>
      <c r="E615" s="1" t="s">
        <v>412</v>
      </c>
      <c r="F615" s="2" t="s">
        <v>0</v>
      </c>
      <c r="G615" s="3">
        <v>121.63</v>
      </c>
    </row>
    <row r="616" spans="1:7" ht="114.75" x14ac:dyDescent="0.25">
      <c r="A616" s="2" t="str">
        <f>"00081220"</f>
        <v>00081220</v>
      </c>
      <c r="B616" s="2" t="str">
        <f t="shared" si="12"/>
        <v xml:space="preserve">  </v>
      </c>
      <c r="C616" s="1" t="s">
        <v>413</v>
      </c>
      <c r="D616" s="1" t="s">
        <v>0</v>
      </c>
      <c r="E616" s="1" t="s">
        <v>396</v>
      </c>
      <c r="F616" s="2" t="s">
        <v>0</v>
      </c>
      <c r="G616" s="3">
        <v>556.6</v>
      </c>
    </row>
    <row r="617" spans="1:7" ht="100.5" x14ac:dyDescent="0.25">
      <c r="A617" s="2" t="str">
        <f>"00081221"</f>
        <v>00081221</v>
      </c>
      <c r="B617" s="2" t="str">
        <f t="shared" si="12"/>
        <v xml:space="preserve">  </v>
      </c>
      <c r="C617" s="1" t="s">
        <v>414</v>
      </c>
      <c r="D617" s="1" t="s">
        <v>0</v>
      </c>
      <c r="E617" s="1" t="s">
        <v>14</v>
      </c>
      <c r="F617" s="2" t="s">
        <v>0</v>
      </c>
      <c r="G617" s="17" t="s">
        <v>1769</v>
      </c>
    </row>
    <row r="618" spans="1:7" ht="114.75" x14ac:dyDescent="0.25">
      <c r="A618" s="2" t="str">
        <f>"00081222"</f>
        <v>00081222</v>
      </c>
      <c r="B618" s="2" t="str">
        <f t="shared" si="12"/>
        <v xml:space="preserve">  </v>
      </c>
      <c r="C618" s="1" t="s">
        <v>415</v>
      </c>
      <c r="D618" s="1" t="s">
        <v>0</v>
      </c>
      <c r="E618" s="1" t="s">
        <v>12</v>
      </c>
      <c r="F618" s="2" t="s">
        <v>0</v>
      </c>
      <c r="G618" s="3">
        <v>435.07</v>
      </c>
    </row>
    <row r="619" spans="1:7" ht="100.5" x14ac:dyDescent="0.25">
      <c r="A619" s="2" t="str">
        <f>"00081223"</f>
        <v>00081223</v>
      </c>
      <c r="B619" s="2" t="str">
        <f t="shared" si="12"/>
        <v xml:space="preserve">  </v>
      </c>
      <c r="C619" s="1" t="s">
        <v>416</v>
      </c>
      <c r="D619" s="1" t="s">
        <v>0</v>
      </c>
      <c r="E619" s="1" t="s">
        <v>396</v>
      </c>
      <c r="F619" s="2" t="s">
        <v>0</v>
      </c>
      <c r="G619" s="3">
        <v>499</v>
      </c>
    </row>
    <row r="620" spans="1:7" ht="100.5" x14ac:dyDescent="0.25">
      <c r="A620" s="2" t="str">
        <f>"00081224"</f>
        <v>00081224</v>
      </c>
      <c r="B620" s="2" t="str">
        <f t="shared" si="12"/>
        <v xml:space="preserve">  </v>
      </c>
      <c r="C620" s="1" t="s">
        <v>417</v>
      </c>
      <c r="D620" s="1" t="s">
        <v>0</v>
      </c>
      <c r="E620" s="1" t="s">
        <v>14</v>
      </c>
      <c r="F620" s="2" t="s">
        <v>0</v>
      </c>
      <c r="G620" s="17" t="s">
        <v>1769</v>
      </c>
    </row>
    <row r="621" spans="1:7" ht="86.25" x14ac:dyDescent="0.25">
      <c r="A621" s="2" t="str">
        <f>"00081225"</f>
        <v>00081225</v>
      </c>
      <c r="B621" s="2" t="str">
        <f t="shared" si="12"/>
        <v xml:space="preserve">  </v>
      </c>
      <c r="C621" s="1" t="s">
        <v>418</v>
      </c>
      <c r="D621" s="1" t="s">
        <v>0</v>
      </c>
      <c r="E621" s="1" t="s">
        <v>12</v>
      </c>
      <c r="F621" s="2" t="s">
        <v>0</v>
      </c>
      <c r="G621" s="3">
        <v>291.36</v>
      </c>
    </row>
    <row r="622" spans="1:7" ht="86.25" x14ac:dyDescent="0.25">
      <c r="A622" s="2" t="str">
        <f>"00081226"</f>
        <v>00081226</v>
      </c>
      <c r="B622" s="2" t="str">
        <f t="shared" si="12"/>
        <v xml:space="preserve">  </v>
      </c>
      <c r="C622" s="1" t="s">
        <v>419</v>
      </c>
      <c r="D622" s="1" t="s">
        <v>0</v>
      </c>
      <c r="E622" s="1" t="s">
        <v>12</v>
      </c>
      <c r="F622" s="2" t="s">
        <v>0</v>
      </c>
      <c r="G622" s="3">
        <v>450.91</v>
      </c>
    </row>
    <row r="623" spans="1:7" ht="86.25" x14ac:dyDescent="0.25">
      <c r="A623" s="2" t="str">
        <f>"00081227"</f>
        <v>00081227</v>
      </c>
      <c r="B623" s="2" t="str">
        <f t="shared" si="12"/>
        <v xml:space="preserve">  </v>
      </c>
      <c r="C623" s="1" t="s">
        <v>420</v>
      </c>
      <c r="D623" s="1" t="s">
        <v>0</v>
      </c>
      <c r="E623" s="1" t="s">
        <v>12</v>
      </c>
      <c r="F623" s="2" t="s">
        <v>0</v>
      </c>
      <c r="G623" s="3">
        <v>174.81</v>
      </c>
    </row>
    <row r="624" spans="1:7" ht="100.5" x14ac:dyDescent="0.25">
      <c r="A624" s="2" t="str">
        <f>"00081228"</f>
        <v>00081228</v>
      </c>
      <c r="B624" s="2" t="str">
        <f t="shared" si="12"/>
        <v xml:space="preserve">  </v>
      </c>
      <c r="C624" s="1" t="s">
        <v>421</v>
      </c>
      <c r="D624" s="1" t="s">
        <v>0</v>
      </c>
      <c r="E624" s="1" t="s">
        <v>14</v>
      </c>
      <c r="F624" s="2" t="s">
        <v>0</v>
      </c>
      <c r="G624" s="17" t="s">
        <v>1769</v>
      </c>
    </row>
    <row r="625" spans="1:7" ht="100.5" x14ac:dyDescent="0.25">
      <c r="A625" s="2" t="str">
        <f>"00081229"</f>
        <v>00081229</v>
      </c>
      <c r="B625" s="2" t="str">
        <f t="shared" si="12"/>
        <v xml:space="preserve">  </v>
      </c>
      <c r="C625" s="1" t="s">
        <v>422</v>
      </c>
      <c r="D625" s="1" t="s">
        <v>0</v>
      </c>
      <c r="E625" s="1" t="s">
        <v>423</v>
      </c>
      <c r="F625" s="2" t="s">
        <v>0</v>
      </c>
      <c r="G625" s="3">
        <v>1160</v>
      </c>
    </row>
    <row r="626" spans="1:7" ht="57.75" x14ac:dyDescent="0.25">
      <c r="A626" s="2" t="str">
        <f>"00081230"</f>
        <v>00081230</v>
      </c>
      <c r="B626" s="2" t="str">
        <f t="shared" si="12"/>
        <v xml:space="preserve">  </v>
      </c>
      <c r="C626" s="1" t="s">
        <v>424</v>
      </c>
      <c r="D626" s="1" t="s">
        <v>0</v>
      </c>
      <c r="E626" s="1" t="s">
        <v>14</v>
      </c>
      <c r="F626" s="2" t="s">
        <v>0</v>
      </c>
      <c r="G626" s="17" t="s">
        <v>1769</v>
      </c>
    </row>
    <row r="627" spans="1:7" ht="57.75" x14ac:dyDescent="0.25">
      <c r="A627" s="2" t="str">
        <f>"00081230"</f>
        <v>00081230</v>
      </c>
      <c r="B627" s="2" t="str">
        <f>"90"</f>
        <v>90</v>
      </c>
      <c r="C627" s="1" t="s">
        <v>424</v>
      </c>
      <c r="D627" s="1" t="s">
        <v>0</v>
      </c>
      <c r="E627" s="1" t="s">
        <v>14</v>
      </c>
      <c r="F627" s="2" t="s">
        <v>0</v>
      </c>
      <c r="G627" s="17" t="s">
        <v>1769</v>
      </c>
    </row>
    <row r="628" spans="1:7" ht="57.75" x14ac:dyDescent="0.25">
      <c r="A628" s="2" t="str">
        <f>"00081231"</f>
        <v>00081231</v>
      </c>
      <c r="B628" s="2" t="str">
        <f>"  "</f>
        <v xml:space="preserve">  </v>
      </c>
      <c r="C628" s="1" t="s">
        <v>425</v>
      </c>
      <c r="D628" s="1" t="s">
        <v>0</v>
      </c>
      <c r="E628" s="1" t="s">
        <v>14</v>
      </c>
      <c r="F628" s="2" t="s">
        <v>0</v>
      </c>
      <c r="G628" s="17" t="s">
        <v>1769</v>
      </c>
    </row>
    <row r="629" spans="1:7" ht="57.75" x14ac:dyDescent="0.25">
      <c r="A629" s="2" t="str">
        <f>"00081231"</f>
        <v>00081231</v>
      </c>
      <c r="B629" s="2" t="str">
        <f>"90"</f>
        <v>90</v>
      </c>
      <c r="C629" s="1" t="s">
        <v>425</v>
      </c>
      <c r="D629" s="1" t="s">
        <v>0</v>
      </c>
      <c r="E629" s="1" t="s">
        <v>14</v>
      </c>
      <c r="F629" s="2" t="s">
        <v>0</v>
      </c>
      <c r="G629" s="17" t="s">
        <v>1769</v>
      </c>
    </row>
    <row r="630" spans="1:7" ht="57.75" x14ac:dyDescent="0.25">
      <c r="A630" s="2" t="str">
        <f>"00081232"</f>
        <v>00081232</v>
      </c>
      <c r="B630" s="2" t="str">
        <f>"  "</f>
        <v xml:space="preserve">  </v>
      </c>
      <c r="C630" s="1" t="s">
        <v>426</v>
      </c>
      <c r="D630" s="1" t="s">
        <v>0</v>
      </c>
      <c r="E630" s="1" t="s">
        <v>14</v>
      </c>
      <c r="F630" s="2" t="s">
        <v>0</v>
      </c>
      <c r="G630" s="17" t="s">
        <v>1769</v>
      </c>
    </row>
    <row r="631" spans="1:7" ht="57.75" x14ac:dyDescent="0.25">
      <c r="A631" s="2" t="str">
        <f>"00081232"</f>
        <v>00081232</v>
      </c>
      <c r="B631" s="2" t="str">
        <f>"90"</f>
        <v>90</v>
      </c>
      <c r="C631" s="1" t="s">
        <v>426</v>
      </c>
      <c r="D631" s="1" t="s">
        <v>0</v>
      </c>
      <c r="E631" s="1" t="s">
        <v>14</v>
      </c>
      <c r="F631" s="2" t="s">
        <v>0</v>
      </c>
      <c r="G631" s="17" t="s">
        <v>1769</v>
      </c>
    </row>
    <row r="632" spans="1:7" ht="43.5" x14ac:dyDescent="0.25">
      <c r="A632" s="2" t="str">
        <f>"00081233"</f>
        <v>00081233</v>
      </c>
      <c r="B632" s="2" t="str">
        <f t="shared" ref="B632:B637" si="13">"  "</f>
        <v xml:space="preserve">  </v>
      </c>
      <c r="C632" s="1" t="s">
        <v>427</v>
      </c>
      <c r="D632" s="1" t="s">
        <v>0</v>
      </c>
      <c r="E632" s="1" t="s">
        <v>14</v>
      </c>
      <c r="F632" s="2" t="s">
        <v>0</v>
      </c>
      <c r="G632" s="17" t="s">
        <v>1769</v>
      </c>
    </row>
    <row r="633" spans="1:7" ht="43.5" x14ac:dyDescent="0.25">
      <c r="A633" s="2" t="str">
        <f>"00081234"</f>
        <v>00081234</v>
      </c>
      <c r="B633" s="2" t="str">
        <f t="shared" si="13"/>
        <v xml:space="preserve">  </v>
      </c>
      <c r="C633" s="1" t="s">
        <v>428</v>
      </c>
      <c r="D633" s="1" t="s">
        <v>0</v>
      </c>
      <c r="E633" s="1" t="s">
        <v>14</v>
      </c>
      <c r="F633" s="2" t="s">
        <v>0</v>
      </c>
      <c r="G633" s="17" t="s">
        <v>1769</v>
      </c>
    </row>
    <row r="634" spans="1:7" ht="57.75" x14ac:dyDescent="0.25">
      <c r="A634" s="2" t="str">
        <f>"00081235"</f>
        <v>00081235</v>
      </c>
      <c r="B634" s="2" t="str">
        <f t="shared" si="13"/>
        <v xml:space="preserve">  </v>
      </c>
      <c r="C634" s="1" t="s">
        <v>429</v>
      </c>
      <c r="D634" s="1" t="s">
        <v>0</v>
      </c>
      <c r="E634" s="1" t="s">
        <v>396</v>
      </c>
      <c r="F634" s="2" t="s">
        <v>0</v>
      </c>
      <c r="G634" s="3">
        <v>324.58</v>
      </c>
    </row>
    <row r="635" spans="1:7" ht="72" x14ac:dyDescent="0.25">
      <c r="A635" s="2" t="str">
        <f>"00081236"</f>
        <v>00081236</v>
      </c>
      <c r="B635" s="2" t="str">
        <f t="shared" si="13"/>
        <v xml:space="preserve">  </v>
      </c>
      <c r="C635" s="1" t="s">
        <v>430</v>
      </c>
      <c r="D635" s="1" t="s">
        <v>0</v>
      </c>
      <c r="E635" s="1" t="s">
        <v>14</v>
      </c>
      <c r="F635" s="2" t="s">
        <v>0</v>
      </c>
      <c r="G635" s="17" t="s">
        <v>1769</v>
      </c>
    </row>
    <row r="636" spans="1:7" ht="72" x14ac:dyDescent="0.25">
      <c r="A636" s="2" t="str">
        <f>"00081237"</f>
        <v>00081237</v>
      </c>
      <c r="B636" s="2" t="str">
        <f t="shared" si="13"/>
        <v xml:space="preserve">  </v>
      </c>
      <c r="C636" s="1" t="s">
        <v>1771</v>
      </c>
      <c r="D636" s="1" t="s">
        <v>0</v>
      </c>
      <c r="E636" s="1" t="s">
        <v>14</v>
      </c>
      <c r="F636" s="2" t="s">
        <v>0</v>
      </c>
      <c r="G636" s="17" t="s">
        <v>1769</v>
      </c>
    </row>
    <row r="637" spans="1:7" ht="43.5" x14ac:dyDescent="0.25">
      <c r="A637" s="2" t="str">
        <f>"00081238"</f>
        <v>00081238</v>
      </c>
      <c r="B637" s="2" t="str">
        <f t="shared" si="13"/>
        <v xml:space="preserve">  </v>
      </c>
      <c r="C637" s="1" t="s">
        <v>431</v>
      </c>
      <c r="D637" s="1" t="s">
        <v>0</v>
      </c>
      <c r="E637" s="1" t="s">
        <v>14</v>
      </c>
      <c r="F637" s="2" t="s">
        <v>0</v>
      </c>
      <c r="G637" s="17" t="s">
        <v>1769</v>
      </c>
    </row>
    <row r="638" spans="1:7" ht="43.5" x14ac:dyDescent="0.25">
      <c r="A638" s="2" t="str">
        <f>"00081238"</f>
        <v>00081238</v>
      </c>
      <c r="B638" s="2" t="str">
        <f>"90"</f>
        <v>90</v>
      </c>
      <c r="C638" s="1" t="s">
        <v>431</v>
      </c>
      <c r="D638" s="1" t="s">
        <v>0</v>
      </c>
      <c r="E638" s="1" t="s">
        <v>14</v>
      </c>
      <c r="F638" s="2" t="s">
        <v>0</v>
      </c>
      <c r="G638" s="17" t="s">
        <v>1769</v>
      </c>
    </row>
    <row r="639" spans="1:7" ht="57.75" x14ac:dyDescent="0.25">
      <c r="A639" s="2" t="str">
        <f>"00081239"</f>
        <v>00081239</v>
      </c>
      <c r="B639" s="2" t="str">
        <f t="shared" ref="B639:B646" si="14">"  "</f>
        <v xml:space="preserve">  </v>
      </c>
      <c r="C639" s="1" t="s">
        <v>432</v>
      </c>
      <c r="D639" s="1" t="s">
        <v>0</v>
      </c>
      <c r="E639" s="1" t="s">
        <v>14</v>
      </c>
      <c r="F639" s="2" t="s">
        <v>0</v>
      </c>
      <c r="G639" s="17" t="s">
        <v>1769</v>
      </c>
    </row>
    <row r="640" spans="1:7" ht="86.25" x14ac:dyDescent="0.25">
      <c r="A640" s="2" t="str">
        <f>"00081240"</f>
        <v>00081240</v>
      </c>
      <c r="B640" s="2" t="str">
        <f t="shared" si="14"/>
        <v xml:space="preserve">  </v>
      </c>
      <c r="C640" s="1" t="s">
        <v>433</v>
      </c>
      <c r="D640" s="1" t="s">
        <v>0</v>
      </c>
      <c r="E640" s="1" t="s">
        <v>365</v>
      </c>
      <c r="F640" s="2" t="s">
        <v>0</v>
      </c>
      <c r="G640" s="3">
        <v>65.69</v>
      </c>
    </row>
    <row r="641" spans="1:7" ht="72" x14ac:dyDescent="0.25">
      <c r="A641" s="2" t="str">
        <f>"00081241"</f>
        <v>00081241</v>
      </c>
      <c r="B641" s="2" t="str">
        <f t="shared" si="14"/>
        <v xml:space="preserve">  </v>
      </c>
      <c r="C641" s="1" t="s">
        <v>434</v>
      </c>
      <c r="D641" s="1" t="s">
        <v>0</v>
      </c>
      <c r="E641" s="1" t="s">
        <v>12</v>
      </c>
      <c r="F641" s="2" t="s">
        <v>0</v>
      </c>
      <c r="G641" s="3">
        <v>73.37</v>
      </c>
    </row>
    <row r="642" spans="1:7" ht="86.25" x14ac:dyDescent="0.25">
      <c r="A642" s="2" t="str">
        <f>"00081242"</f>
        <v>00081242</v>
      </c>
      <c r="B642" s="2" t="str">
        <f t="shared" si="14"/>
        <v xml:space="preserve">  </v>
      </c>
      <c r="C642" s="1" t="s">
        <v>435</v>
      </c>
      <c r="D642" s="1" t="s">
        <v>0</v>
      </c>
      <c r="E642" s="1" t="s">
        <v>12</v>
      </c>
      <c r="F642" s="2" t="s">
        <v>0</v>
      </c>
      <c r="G642" s="3">
        <v>36.619999999999997</v>
      </c>
    </row>
    <row r="643" spans="1:7" ht="100.5" x14ac:dyDescent="0.25">
      <c r="A643" s="2" t="str">
        <f>"00081243"</f>
        <v>00081243</v>
      </c>
      <c r="B643" s="2" t="str">
        <f t="shared" si="14"/>
        <v xml:space="preserve">  </v>
      </c>
      <c r="C643" s="1" t="s">
        <v>436</v>
      </c>
      <c r="D643" s="1" t="s">
        <v>0</v>
      </c>
      <c r="E643" s="1" t="s">
        <v>437</v>
      </c>
      <c r="F643" s="2" t="s">
        <v>0</v>
      </c>
      <c r="G643" s="3">
        <v>57.04</v>
      </c>
    </row>
    <row r="644" spans="1:7" ht="86.25" x14ac:dyDescent="0.25">
      <c r="A644" s="2" t="str">
        <f>"00081245"</f>
        <v>00081245</v>
      </c>
      <c r="B644" s="2" t="str">
        <f t="shared" si="14"/>
        <v xml:space="preserve">  </v>
      </c>
      <c r="C644" s="1" t="s">
        <v>438</v>
      </c>
      <c r="D644" s="1" t="s">
        <v>0</v>
      </c>
      <c r="E644" s="1" t="s">
        <v>396</v>
      </c>
      <c r="F644" s="2" t="s">
        <v>0</v>
      </c>
      <c r="G644" s="3">
        <v>165.51</v>
      </c>
    </row>
    <row r="645" spans="1:7" ht="43.5" x14ac:dyDescent="0.25">
      <c r="A645" s="2" t="str">
        <f>"00081246"</f>
        <v>00081246</v>
      </c>
      <c r="B645" s="2" t="str">
        <f t="shared" si="14"/>
        <v xml:space="preserve">  </v>
      </c>
      <c r="C645" s="1" t="s">
        <v>439</v>
      </c>
      <c r="D645" s="1" t="s">
        <v>0</v>
      </c>
      <c r="E645" s="1" t="s">
        <v>14</v>
      </c>
      <c r="F645" s="2" t="s">
        <v>0</v>
      </c>
      <c r="G645" s="17" t="s">
        <v>1769</v>
      </c>
    </row>
    <row r="646" spans="1:7" ht="57.75" x14ac:dyDescent="0.25">
      <c r="A646" s="2" t="str">
        <f>"00081247"</f>
        <v>00081247</v>
      </c>
      <c r="B646" s="2" t="str">
        <f t="shared" si="14"/>
        <v xml:space="preserve">  </v>
      </c>
      <c r="C646" s="1" t="s">
        <v>440</v>
      </c>
      <c r="D646" s="1" t="s">
        <v>0</v>
      </c>
      <c r="E646" s="1" t="s">
        <v>14</v>
      </c>
      <c r="F646" s="2" t="s">
        <v>0</v>
      </c>
      <c r="G646" s="17" t="s">
        <v>1769</v>
      </c>
    </row>
    <row r="647" spans="1:7" ht="57.75" x14ac:dyDescent="0.25">
      <c r="A647" s="2" t="str">
        <f>"00081247"</f>
        <v>00081247</v>
      </c>
      <c r="B647" s="2" t="str">
        <f>"90"</f>
        <v>90</v>
      </c>
      <c r="C647" s="1" t="s">
        <v>440</v>
      </c>
      <c r="D647" s="1" t="s">
        <v>0</v>
      </c>
      <c r="E647" s="1" t="s">
        <v>14</v>
      </c>
      <c r="F647" s="2" t="s">
        <v>0</v>
      </c>
      <c r="G647" s="17" t="s">
        <v>1769</v>
      </c>
    </row>
    <row r="648" spans="1:7" ht="57.75" x14ac:dyDescent="0.25">
      <c r="A648" s="2" t="str">
        <f>"00081248"</f>
        <v>00081248</v>
      </c>
      <c r="B648" s="2" t="str">
        <f>"  "</f>
        <v xml:space="preserve">  </v>
      </c>
      <c r="C648" s="1" t="s">
        <v>441</v>
      </c>
      <c r="D648" s="1" t="s">
        <v>0</v>
      </c>
      <c r="E648" s="1" t="s">
        <v>14</v>
      </c>
      <c r="F648" s="2" t="s">
        <v>0</v>
      </c>
      <c r="G648" s="17" t="s">
        <v>1769</v>
      </c>
    </row>
    <row r="649" spans="1:7" ht="57.75" x14ac:dyDescent="0.25">
      <c r="A649" s="2" t="str">
        <f>"00081248"</f>
        <v>00081248</v>
      </c>
      <c r="B649" s="2" t="str">
        <f>"90"</f>
        <v>90</v>
      </c>
      <c r="C649" s="1" t="s">
        <v>441</v>
      </c>
      <c r="D649" s="1" t="s">
        <v>0</v>
      </c>
      <c r="E649" s="1" t="s">
        <v>14</v>
      </c>
      <c r="F649" s="2" t="s">
        <v>0</v>
      </c>
      <c r="G649" s="17" t="s">
        <v>1769</v>
      </c>
    </row>
    <row r="650" spans="1:7" ht="57.75" x14ac:dyDescent="0.25">
      <c r="A650" s="2" t="str">
        <f>"00081249"</f>
        <v>00081249</v>
      </c>
      <c r="B650" s="2" t="str">
        <f>"  "</f>
        <v xml:space="preserve">  </v>
      </c>
      <c r="C650" s="1" t="s">
        <v>442</v>
      </c>
      <c r="D650" s="1" t="s">
        <v>0</v>
      </c>
      <c r="E650" s="1" t="s">
        <v>14</v>
      </c>
      <c r="F650" s="2" t="s">
        <v>0</v>
      </c>
      <c r="G650" s="17" t="s">
        <v>1769</v>
      </c>
    </row>
    <row r="651" spans="1:7" ht="57.75" x14ac:dyDescent="0.25">
      <c r="A651" s="2" t="str">
        <f>"00081249"</f>
        <v>00081249</v>
      </c>
      <c r="B651" s="2" t="str">
        <f>"90"</f>
        <v>90</v>
      </c>
      <c r="C651" s="1" t="s">
        <v>442</v>
      </c>
      <c r="D651" s="1" t="s">
        <v>0</v>
      </c>
      <c r="E651" s="1" t="s">
        <v>14</v>
      </c>
      <c r="F651" s="2" t="s">
        <v>0</v>
      </c>
      <c r="G651" s="17" t="s">
        <v>1769</v>
      </c>
    </row>
    <row r="652" spans="1:7" ht="100.5" x14ac:dyDescent="0.25">
      <c r="A652" s="2" t="str">
        <f>"00081250"</f>
        <v>00081250</v>
      </c>
      <c r="B652" s="2" t="str">
        <f t="shared" ref="B652:B660" si="15">"  "</f>
        <v xml:space="preserve">  </v>
      </c>
      <c r="C652" s="1" t="s">
        <v>443</v>
      </c>
      <c r="D652" s="1" t="s">
        <v>0</v>
      </c>
      <c r="E652" s="1" t="s">
        <v>444</v>
      </c>
      <c r="F652" s="2" t="s">
        <v>0</v>
      </c>
      <c r="G652" s="3">
        <v>58.49</v>
      </c>
    </row>
    <row r="653" spans="1:7" ht="86.25" x14ac:dyDescent="0.25">
      <c r="A653" s="2" t="str">
        <f>"00081251"</f>
        <v>00081251</v>
      </c>
      <c r="B653" s="2" t="str">
        <f t="shared" si="15"/>
        <v xml:space="preserve">  </v>
      </c>
      <c r="C653" s="1" t="s">
        <v>445</v>
      </c>
      <c r="D653" s="1" t="s">
        <v>0</v>
      </c>
      <c r="E653" s="1" t="s">
        <v>396</v>
      </c>
      <c r="F653" s="2" t="s">
        <v>0</v>
      </c>
      <c r="G653" s="3">
        <v>47.25</v>
      </c>
    </row>
    <row r="654" spans="1:7" ht="57.75" x14ac:dyDescent="0.25">
      <c r="A654" s="2" t="str">
        <f>"00081252"</f>
        <v>00081252</v>
      </c>
      <c r="B654" s="2" t="str">
        <f t="shared" si="15"/>
        <v xml:space="preserve">  </v>
      </c>
      <c r="C654" s="1" t="s">
        <v>446</v>
      </c>
      <c r="D654" s="1" t="s">
        <v>0</v>
      </c>
      <c r="E654" s="1" t="s">
        <v>396</v>
      </c>
      <c r="F654" s="2" t="s">
        <v>0</v>
      </c>
      <c r="G654" s="3">
        <v>101.12</v>
      </c>
    </row>
    <row r="655" spans="1:7" ht="57.75" x14ac:dyDescent="0.25">
      <c r="A655" s="2" t="str">
        <f>"00081253"</f>
        <v>00081253</v>
      </c>
      <c r="B655" s="2" t="str">
        <f t="shared" si="15"/>
        <v xml:space="preserve">  </v>
      </c>
      <c r="C655" s="1" t="s">
        <v>447</v>
      </c>
      <c r="D655" s="1" t="s">
        <v>0</v>
      </c>
      <c r="E655" s="1" t="s">
        <v>396</v>
      </c>
      <c r="F655" s="2" t="s">
        <v>0</v>
      </c>
      <c r="G655" s="3">
        <v>61.52</v>
      </c>
    </row>
    <row r="656" spans="1:7" ht="57.75" x14ac:dyDescent="0.25">
      <c r="A656" s="2" t="str">
        <f>"00081254"</f>
        <v>00081254</v>
      </c>
      <c r="B656" s="2" t="str">
        <f t="shared" si="15"/>
        <v xml:space="preserve">  </v>
      </c>
      <c r="C656" s="1" t="s">
        <v>448</v>
      </c>
      <c r="D656" s="1" t="s">
        <v>0</v>
      </c>
      <c r="E656" s="1" t="s">
        <v>14</v>
      </c>
      <c r="F656" s="2" t="s">
        <v>0</v>
      </c>
      <c r="G656" s="17" t="s">
        <v>1769</v>
      </c>
    </row>
    <row r="657" spans="1:7" ht="86.25" x14ac:dyDescent="0.25">
      <c r="A657" s="2" t="str">
        <f>"00081255"</f>
        <v>00081255</v>
      </c>
      <c r="B657" s="2" t="str">
        <f t="shared" si="15"/>
        <v xml:space="preserve">  </v>
      </c>
      <c r="C657" s="1" t="s">
        <v>449</v>
      </c>
      <c r="D657" s="1" t="s">
        <v>0</v>
      </c>
      <c r="E657" s="1" t="s">
        <v>396</v>
      </c>
      <c r="F657" s="2" t="s">
        <v>0</v>
      </c>
      <c r="G657" s="3">
        <v>51.45</v>
      </c>
    </row>
    <row r="658" spans="1:7" ht="72" x14ac:dyDescent="0.25">
      <c r="A658" s="2" t="str">
        <f>"00081256"</f>
        <v>00081256</v>
      </c>
      <c r="B658" s="2" t="str">
        <f t="shared" si="15"/>
        <v xml:space="preserve">  </v>
      </c>
      <c r="C658" s="1" t="s">
        <v>450</v>
      </c>
      <c r="D658" s="1" t="s">
        <v>0</v>
      </c>
      <c r="E658" s="1" t="s">
        <v>12</v>
      </c>
      <c r="F658" s="2" t="s">
        <v>0</v>
      </c>
      <c r="G658" s="3">
        <v>65.36</v>
      </c>
    </row>
    <row r="659" spans="1:7" ht="100.5" x14ac:dyDescent="0.25">
      <c r="A659" s="2" t="str">
        <f>"00081257"</f>
        <v>00081257</v>
      </c>
      <c r="B659" s="2" t="str">
        <f t="shared" si="15"/>
        <v xml:space="preserve">  </v>
      </c>
      <c r="C659" s="1" t="s">
        <v>451</v>
      </c>
      <c r="D659" s="1" t="s">
        <v>0</v>
      </c>
      <c r="E659" s="1" t="s">
        <v>396</v>
      </c>
      <c r="F659" s="2" t="s">
        <v>0</v>
      </c>
      <c r="G659" s="3">
        <v>102.26</v>
      </c>
    </row>
    <row r="660" spans="1:7" ht="57.75" x14ac:dyDescent="0.25">
      <c r="A660" s="2" t="str">
        <f>"00081258"</f>
        <v>00081258</v>
      </c>
      <c r="B660" s="2" t="str">
        <f t="shared" si="15"/>
        <v xml:space="preserve">  </v>
      </c>
      <c r="C660" s="1" t="s">
        <v>452</v>
      </c>
      <c r="D660" s="1" t="s">
        <v>0</v>
      </c>
      <c r="E660" s="1" t="s">
        <v>14</v>
      </c>
      <c r="F660" s="2" t="s">
        <v>0</v>
      </c>
      <c r="G660" s="17" t="s">
        <v>1769</v>
      </c>
    </row>
    <row r="661" spans="1:7" ht="57.75" x14ac:dyDescent="0.25">
      <c r="A661" s="2" t="str">
        <f>"00081258"</f>
        <v>00081258</v>
      </c>
      <c r="B661" s="2" t="str">
        <f>"90"</f>
        <v>90</v>
      </c>
      <c r="C661" s="1" t="s">
        <v>452</v>
      </c>
      <c r="D661" s="1" t="s">
        <v>0</v>
      </c>
      <c r="E661" s="1" t="s">
        <v>14</v>
      </c>
      <c r="F661" s="2" t="s">
        <v>0</v>
      </c>
      <c r="G661" s="17" t="s">
        <v>1769</v>
      </c>
    </row>
    <row r="662" spans="1:7" ht="57.75" x14ac:dyDescent="0.25">
      <c r="A662" s="2" t="str">
        <f>"00081259"</f>
        <v>00081259</v>
      </c>
      <c r="B662" s="2" t="str">
        <f>"  "</f>
        <v xml:space="preserve">  </v>
      </c>
      <c r="C662" s="1" t="s">
        <v>453</v>
      </c>
      <c r="D662" s="1" t="s">
        <v>0</v>
      </c>
      <c r="E662" s="1" t="s">
        <v>14</v>
      </c>
      <c r="F662" s="2" t="s">
        <v>0</v>
      </c>
      <c r="G662" s="17" t="s">
        <v>1769</v>
      </c>
    </row>
    <row r="663" spans="1:7" ht="57.75" x14ac:dyDescent="0.25">
      <c r="A663" s="2" t="str">
        <f>"00081259"</f>
        <v>00081259</v>
      </c>
      <c r="B663" s="2" t="str">
        <f>"90"</f>
        <v>90</v>
      </c>
      <c r="C663" s="1" t="s">
        <v>453</v>
      </c>
      <c r="D663" s="1" t="s">
        <v>0</v>
      </c>
      <c r="E663" s="1" t="s">
        <v>14</v>
      </c>
      <c r="F663" s="2" t="s">
        <v>0</v>
      </c>
      <c r="G663" s="17" t="s">
        <v>1769</v>
      </c>
    </row>
    <row r="664" spans="1:7" ht="100.5" x14ac:dyDescent="0.25">
      <c r="A664" s="2" t="str">
        <f>"00081260"</f>
        <v>00081260</v>
      </c>
      <c r="B664" s="2" t="str">
        <f t="shared" ref="B664:B673" si="16">"  "</f>
        <v xml:space="preserve">  </v>
      </c>
      <c r="C664" s="1" t="s">
        <v>454</v>
      </c>
      <c r="D664" s="1" t="s">
        <v>0</v>
      </c>
      <c r="E664" s="1" t="s">
        <v>396</v>
      </c>
      <c r="F664" s="2" t="s">
        <v>0</v>
      </c>
      <c r="G664" s="3">
        <v>39.31</v>
      </c>
    </row>
    <row r="665" spans="1:7" ht="114.75" x14ac:dyDescent="0.25">
      <c r="A665" s="2" t="str">
        <f>"00081261"</f>
        <v>00081261</v>
      </c>
      <c r="B665" s="2" t="str">
        <f t="shared" si="16"/>
        <v xml:space="preserve">  </v>
      </c>
      <c r="C665" s="1" t="s">
        <v>455</v>
      </c>
      <c r="D665" s="1" t="s">
        <v>0</v>
      </c>
      <c r="E665" s="1" t="s">
        <v>396</v>
      </c>
      <c r="F665" s="2" t="s">
        <v>0</v>
      </c>
      <c r="G665" s="3">
        <v>197.99</v>
      </c>
    </row>
    <row r="666" spans="1:7" ht="114.75" x14ac:dyDescent="0.25">
      <c r="A666" s="2" t="str">
        <f>"00081262"</f>
        <v>00081262</v>
      </c>
      <c r="B666" s="2" t="str">
        <f t="shared" si="16"/>
        <v xml:space="preserve">  </v>
      </c>
      <c r="C666" s="1" t="s">
        <v>455</v>
      </c>
      <c r="D666" s="1" t="s">
        <v>0</v>
      </c>
      <c r="E666" s="1" t="s">
        <v>12</v>
      </c>
      <c r="F666" s="2" t="s">
        <v>0</v>
      </c>
      <c r="G666" s="3">
        <v>68.55</v>
      </c>
    </row>
    <row r="667" spans="1:7" ht="86.25" x14ac:dyDescent="0.25">
      <c r="A667" s="2" t="str">
        <f>"00081263"</f>
        <v>00081263</v>
      </c>
      <c r="B667" s="2" t="str">
        <f t="shared" si="16"/>
        <v xml:space="preserve">  </v>
      </c>
      <c r="C667" s="1" t="s">
        <v>456</v>
      </c>
      <c r="D667" s="1" t="s">
        <v>0</v>
      </c>
      <c r="E667" s="1" t="s">
        <v>12</v>
      </c>
      <c r="F667" s="2" t="s">
        <v>0</v>
      </c>
      <c r="G667" s="3">
        <v>294.52</v>
      </c>
    </row>
    <row r="668" spans="1:7" ht="100.5" x14ac:dyDescent="0.25">
      <c r="A668" s="2" t="str">
        <f>"00081264"</f>
        <v>00081264</v>
      </c>
      <c r="B668" s="2" t="str">
        <f t="shared" si="16"/>
        <v xml:space="preserve">  </v>
      </c>
      <c r="C668" s="1" t="s">
        <v>457</v>
      </c>
      <c r="D668" s="1" t="s">
        <v>0</v>
      </c>
      <c r="E668" s="1" t="s">
        <v>12</v>
      </c>
      <c r="F668" s="2" t="s">
        <v>0</v>
      </c>
      <c r="G668" s="3">
        <v>172.73</v>
      </c>
    </row>
    <row r="669" spans="1:7" ht="100.5" x14ac:dyDescent="0.25">
      <c r="A669" s="2" t="str">
        <f>"00081265"</f>
        <v>00081265</v>
      </c>
      <c r="B669" s="2" t="str">
        <f t="shared" si="16"/>
        <v xml:space="preserve">  </v>
      </c>
      <c r="C669" s="1" t="s">
        <v>458</v>
      </c>
      <c r="D669" s="1" t="s">
        <v>0</v>
      </c>
      <c r="E669" s="1" t="s">
        <v>12</v>
      </c>
      <c r="F669" s="2" t="s">
        <v>0</v>
      </c>
      <c r="G669" s="3">
        <v>233.07</v>
      </c>
    </row>
    <row r="670" spans="1:7" ht="100.5" x14ac:dyDescent="0.25">
      <c r="A670" s="2" t="str">
        <f>"00081266"</f>
        <v>00081266</v>
      </c>
      <c r="B670" s="2" t="str">
        <f t="shared" si="16"/>
        <v xml:space="preserve">  </v>
      </c>
      <c r="C670" s="1" t="s">
        <v>459</v>
      </c>
      <c r="D670" s="1" t="s">
        <v>0</v>
      </c>
      <c r="E670" s="1" t="s">
        <v>14</v>
      </c>
      <c r="F670" s="2" t="s">
        <v>0</v>
      </c>
      <c r="G670" s="17" t="s">
        <v>1769</v>
      </c>
    </row>
    <row r="671" spans="1:7" ht="114.75" x14ac:dyDescent="0.25">
      <c r="A671" s="2" t="str">
        <f>"00081267"</f>
        <v>00081267</v>
      </c>
      <c r="B671" s="2" t="str">
        <f t="shared" si="16"/>
        <v xml:space="preserve">  </v>
      </c>
      <c r="C671" s="1" t="s">
        <v>460</v>
      </c>
      <c r="D671" s="1" t="s">
        <v>0</v>
      </c>
      <c r="E671" s="1" t="s">
        <v>12</v>
      </c>
      <c r="F671" s="2" t="s">
        <v>0</v>
      </c>
      <c r="G671" s="3">
        <v>207.46</v>
      </c>
    </row>
    <row r="672" spans="1:7" ht="114.75" x14ac:dyDescent="0.25">
      <c r="A672" s="2" t="str">
        <f>"00081268"</f>
        <v>00081268</v>
      </c>
      <c r="B672" s="2" t="str">
        <f t="shared" si="16"/>
        <v xml:space="preserve">  </v>
      </c>
      <c r="C672" s="1" t="s">
        <v>460</v>
      </c>
      <c r="D672" s="1" t="s">
        <v>0</v>
      </c>
      <c r="E672" s="1" t="s">
        <v>12</v>
      </c>
      <c r="F672" s="2" t="s">
        <v>0</v>
      </c>
      <c r="G672" s="3">
        <v>260.79000000000002</v>
      </c>
    </row>
    <row r="673" spans="1:7" ht="72" x14ac:dyDescent="0.25">
      <c r="A673" s="2" t="str">
        <f>"00081269"</f>
        <v>00081269</v>
      </c>
      <c r="B673" s="2" t="str">
        <f t="shared" si="16"/>
        <v xml:space="preserve">  </v>
      </c>
      <c r="C673" s="1" t="s">
        <v>461</v>
      </c>
      <c r="D673" s="1" t="s">
        <v>0</v>
      </c>
      <c r="E673" s="1" t="s">
        <v>14</v>
      </c>
      <c r="F673" s="2" t="s">
        <v>0</v>
      </c>
      <c r="G673" s="17" t="s">
        <v>1769</v>
      </c>
    </row>
    <row r="674" spans="1:7" ht="72" x14ac:dyDescent="0.25">
      <c r="A674" s="2" t="str">
        <f>"00081269"</f>
        <v>00081269</v>
      </c>
      <c r="B674" s="2" t="str">
        <f>"90"</f>
        <v>90</v>
      </c>
      <c r="C674" s="1" t="s">
        <v>461</v>
      </c>
      <c r="D674" s="1" t="s">
        <v>0</v>
      </c>
      <c r="E674" s="1" t="s">
        <v>14</v>
      </c>
      <c r="F674" s="2" t="s">
        <v>0</v>
      </c>
      <c r="G674" s="17" t="s">
        <v>1769</v>
      </c>
    </row>
    <row r="675" spans="1:7" ht="72" x14ac:dyDescent="0.25">
      <c r="A675" s="2" t="str">
        <f>"00081270"</f>
        <v>00081270</v>
      </c>
      <c r="B675" s="2" t="str">
        <f t="shared" ref="B675:B683" si="17">"  "</f>
        <v xml:space="preserve">  </v>
      </c>
      <c r="C675" s="1" t="s">
        <v>462</v>
      </c>
      <c r="D675" s="1" t="s">
        <v>0</v>
      </c>
      <c r="E675" s="1" t="s">
        <v>12</v>
      </c>
      <c r="F675" s="2" t="s">
        <v>0</v>
      </c>
      <c r="G675" s="3">
        <v>91.66</v>
      </c>
    </row>
    <row r="676" spans="1:7" ht="43.5" x14ac:dyDescent="0.25">
      <c r="A676" s="2" t="str">
        <f>"00081271"</f>
        <v>00081271</v>
      </c>
      <c r="B676" s="2" t="str">
        <f t="shared" si="17"/>
        <v xml:space="preserve">  </v>
      </c>
      <c r="C676" s="1" t="s">
        <v>463</v>
      </c>
      <c r="D676" s="1" t="s">
        <v>0</v>
      </c>
      <c r="E676" s="1" t="s">
        <v>14</v>
      </c>
      <c r="F676" s="2" t="s">
        <v>0</v>
      </c>
      <c r="G676" s="17" t="s">
        <v>1769</v>
      </c>
    </row>
    <row r="677" spans="1:7" ht="72" x14ac:dyDescent="0.25">
      <c r="A677" s="2" t="str">
        <f>"00081272"</f>
        <v>00081272</v>
      </c>
      <c r="B677" s="2" t="str">
        <f t="shared" si="17"/>
        <v xml:space="preserve">  </v>
      </c>
      <c r="C677" s="1" t="s">
        <v>464</v>
      </c>
      <c r="D677" s="1" t="s">
        <v>0</v>
      </c>
      <c r="E677" s="1" t="s">
        <v>14</v>
      </c>
      <c r="F677" s="2" t="s">
        <v>0</v>
      </c>
      <c r="G677" s="17" t="s">
        <v>1769</v>
      </c>
    </row>
    <row r="678" spans="1:7" ht="72" x14ac:dyDescent="0.25">
      <c r="A678" s="2" t="str">
        <f>"00081273"</f>
        <v>00081273</v>
      </c>
      <c r="B678" s="2" t="str">
        <f t="shared" si="17"/>
        <v xml:space="preserve">  </v>
      </c>
      <c r="C678" s="1" t="s">
        <v>465</v>
      </c>
      <c r="D678" s="1" t="s">
        <v>0</v>
      </c>
      <c r="E678" s="1" t="s">
        <v>14</v>
      </c>
      <c r="F678" s="2" t="s">
        <v>0</v>
      </c>
      <c r="G678" s="17" t="s">
        <v>1769</v>
      </c>
    </row>
    <row r="679" spans="1:7" ht="57.75" x14ac:dyDescent="0.25">
      <c r="A679" s="2" t="str">
        <f>"00081274"</f>
        <v>00081274</v>
      </c>
      <c r="B679" s="2" t="str">
        <f t="shared" si="17"/>
        <v xml:space="preserve">  </v>
      </c>
      <c r="C679" s="1" t="s">
        <v>466</v>
      </c>
      <c r="D679" s="1" t="s">
        <v>0</v>
      </c>
      <c r="E679" s="1" t="s">
        <v>14</v>
      </c>
      <c r="F679" s="2" t="s">
        <v>0</v>
      </c>
      <c r="G679" s="17" t="s">
        <v>1769</v>
      </c>
    </row>
    <row r="680" spans="1:7" ht="86.25" x14ac:dyDescent="0.25">
      <c r="A680" s="2" t="str">
        <f>"00081275"</f>
        <v>00081275</v>
      </c>
      <c r="B680" s="2" t="str">
        <f t="shared" si="17"/>
        <v xml:space="preserve">  </v>
      </c>
      <c r="C680" s="1" t="s">
        <v>467</v>
      </c>
      <c r="D680" s="1" t="s">
        <v>0</v>
      </c>
      <c r="E680" s="1" t="s">
        <v>12</v>
      </c>
      <c r="F680" s="2" t="s">
        <v>0</v>
      </c>
      <c r="G680" s="3">
        <v>193.25</v>
      </c>
    </row>
    <row r="681" spans="1:7" ht="57.75" x14ac:dyDescent="0.25">
      <c r="A681" s="2" t="str">
        <f>"00081276"</f>
        <v>00081276</v>
      </c>
      <c r="B681" s="2" t="str">
        <f t="shared" si="17"/>
        <v xml:space="preserve">  </v>
      </c>
      <c r="C681" s="1" t="s">
        <v>468</v>
      </c>
      <c r="D681" s="1" t="s">
        <v>0</v>
      </c>
      <c r="E681" s="1" t="s">
        <v>12</v>
      </c>
      <c r="F681" s="2" t="s">
        <v>0</v>
      </c>
      <c r="G681" s="3">
        <v>193.25</v>
      </c>
    </row>
    <row r="682" spans="1:7" ht="29.25" x14ac:dyDescent="0.25">
      <c r="A682" s="2" t="str">
        <f>"00081277"</f>
        <v>00081277</v>
      </c>
      <c r="B682" s="2" t="str">
        <f t="shared" si="17"/>
        <v xml:space="preserve">  </v>
      </c>
      <c r="C682" s="1" t="s">
        <v>469</v>
      </c>
      <c r="D682" s="1" t="s">
        <v>0</v>
      </c>
      <c r="E682" s="1" t="s">
        <v>14</v>
      </c>
      <c r="F682" s="2" t="s">
        <v>0</v>
      </c>
      <c r="G682" s="17" t="s">
        <v>1769</v>
      </c>
    </row>
    <row r="683" spans="1:7" ht="29.25" x14ac:dyDescent="0.25">
      <c r="A683" s="2" t="str">
        <f>"00081278"</f>
        <v>00081278</v>
      </c>
      <c r="B683" s="2" t="str">
        <f t="shared" si="17"/>
        <v xml:space="preserve">  </v>
      </c>
      <c r="C683" s="1" t="s">
        <v>470</v>
      </c>
      <c r="D683" s="1" t="s">
        <v>0</v>
      </c>
      <c r="E683" s="1" t="s">
        <v>14</v>
      </c>
      <c r="F683" s="2" t="s">
        <v>0</v>
      </c>
      <c r="G683" s="17" t="s">
        <v>1769</v>
      </c>
    </row>
    <row r="684" spans="1:7" ht="29.25" x14ac:dyDescent="0.25">
      <c r="A684" s="2" t="str">
        <f>"00081278"</f>
        <v>00081278</v>
      </c>
      <c r="B684" s="2" t="str">
        <f>"90"</f>
        <v>90</v>
      </c>
      <c r="C684" s="1" t="s">
        <v>470</v>
      </c>
      <c r="D684" s="1" t="s">
        <v>0</v>
      </c>
      <c r="E684" s="1" t="s">
        <v>14</v>
      </c>
      <c r="F684" s="2" t="s">
        <v>0</v>
      </c>
      <c r="G684" s="17" t="s">
        <v>1769</v>
      </c>
    </row>
    <row r="685" spans="1:7" ht="29.25" x14ac:dyDescent="0.25">
      <c r="A685" s="2" t="str">
        <f>"00081279"</f>
        <v>00081279</v>
      </c>
      <c r="B685" s="2" t="str">
        <f>"  "</f>
        <v xml:space="preserve">  </v>
      </c>
      <c r="C685" s="1" t="s">
        <v>471</v>
      </c>
      <c r="D685" s="1" t="s">
        <v>0</v>
      </c>
      <c r="E685" s="1" t="s">
        <v>14</v>
      </c>
      <c r="F685" s="2" t="s">
        <v>0</v>
      </c>
      <c r="G685" s="17" t="s">
        <v>1769</v>
      </c>
    </row>
    <row r="686" spans="1:7" ht="29.25" x14ac:dyDescent="0.25">
      <c r="A686" s="2" t="str">
        <f>"00081279"</f>
        <v>00081279</v>
      </c>
      <c r="B686" s="2" t="str">
        <f>"90"</f>
        <v>90</v>
      </c>
      <c r="C686" s="1" t="s">
        <v>471</v>
      </c>
      <c r="D686" s="1" t="s">
        <v>0</v>
      </c>
      <c r="E686" s="1" t="s">
        <v>14</v>
      </c>
      <c r="F686" s="2" t="s">
        <v>0</v>
      </c>
      <c r="G686" s="17" t="s">
        <v>1769</v>
      </c>
    </row>
    <row r="687" spans="1:7" ht="43.5" x14ac:dyDescent="0.25">
      <c r="A687" s="2" t="str">
        <f>"00081283"</f>
        <v>00081283</v>
      </c>
      <c r="B687" s="2" t="str">
        <f>"  "</f>
        <v xml:space="preserve">  </v>
      </c>
      <c r="C687" s="1" t="s">
        <v>472</v>
      </c>
      <c r="D687" s="1" t="s">
        <v>0</v>
      </c>
      <c r="E687" s="1" t="s">
        <v>14</v>
      </c>
      <c r="F687" s="2" t="s">
        <v>0</v>
      </c>
      <c r="G687" s="17" t="s">
        <v>1769</v>
      </c>
    </row>
    <row r="688" spans="1:7" ht="43.5" x14ac:dyDescent="0.25">
      <c r="A688" s="2" t="str">
        <f>"00081283"</f>
        <v>00081283</v>
      </c>
      <c r="B688" s="2" t="str">
        <f>"90"</f>
        <v>90</v>
      </c>
      <c r="C688" s="1" t="s">
        <v>472</v>
      </c>
      <c r="D688" s="1" t="s">
        <v>0</v>
      </c>
      <c r="E688" s="1" t="s">
        <v>14</v>
      </c>
      <c r="F688" s="2" t="s">
        <v>0</v>
      </c>
      <c r="G688" s="17" t="s">
        <v>1769</v>
      </c>
    </row>
    <row r="689" spans="1:7" ht="29.25" x14ac:dyDescent="0.25">
      <c r="A689" s="2" t="str">
        <f>"00081284"</f>
        <v>00081284</v>
      </c>
      <c r="B689" s="2" t="str">
        <f t="shared" ref="B689:B725" si="18">"  "</f>
        <v xml:space="preserve">  </v>
      </c>
      <c r="C689" s="1" t="s">
        <v>473</v>
      </c>
      <c r="D689" s="1" t="s">
        <v>0</v>
      </c>
      <c r="E689" s="1" t="s">
        <v>14</v>
      </c>
      <c r="F689" s="2" t="s">
        <v>0</v>
      </c>
      <c r="G689" s="17" t="s">
        <v>1769</v>
      </c>
    </row>
    <row r="690" spans="1:7" ht="43.5" x14ac:dyDescent="0.25">
      <c r="A690" s="2" t="str">
        <f>"00081285"</f>
        <v>00081285</v>
      </c>
      <c r="B690" s="2" t="str">
        <f t="shared" si="18"/>
        <v xml:space="preserve">  </v>
      </c>
      <c r="C690" s="1" t="s">
        <v>474</v>
      </c>
      <c r="D690" s="1" t="s">
        <v>0</v>
      </c>
      <c r="E690" s="1" t="s">
        <v>14</v>
      </c>
      <c r="F690" s="2" t="s">
        <v>0</v>
      </c>
      <c r="G690" s="17" t="s">
        <v>1769</v>
      </c>
    </row>
    <row r="691" spans="1:7" ht="29.25" x14ac:dyDescent="0.25">
      <c r="A691" s="2" t="str">
        <f>"00081286"</f>
        <v>00081286</v>
      </c>
      <c r="B691" s="2" t="str">
        <f t="shared" si="18"/>
        <v xml:space="preserve">  </v>
      </c>
      <c r="C691" s="1" t="s">
        <v>475</v>
      </c>
      <c r="D691" s="1" t="s">
        <v>0</v>
      </c>
      <c r="E691" s="1" t="s">
        <v>14</v>
      </c>
      <c r="F691" s="2" t="s">
        <v>0</v>
      </c>
      <c r="G691" s="17" t="s">
        <v>1769</v>
      </c>
    </row>
    <row r="692" spans="1:7" ht="43.5" x14ac:dyDescent="0.25">
      <c r="A692" s="2" t="str">
        <f>"00081287"</f>
        <v>00081287</v>
      </c>
      <c r="B692" s="2" t="str">
        <f t="shared" si="18"/>
        <v xml:space="preserve">  </v>
      </c>
      <c r="C692" s="1" t="s">
        <v>476</v>
      </c>
      <c r="D692" s="1" t="s">
        <v>0</v>
      </c>
      <c r="E692" s="1" t="s">
        <v>14</v>
      </c>
      <c r="F692" s="2" t="s">
        <v>0</v>
      </c>
      <c r="G692" s="17" t="s">
        <v>1769</v>
      </c>
    </row>
    <row r="693" spans="1:7" ht="43.5" x14ac:dyDescent="0.25">
      <c r="A693" s="2" t="str">
        <f>"00081288"</f>
        <v>00081288</v>
      </c>
      <c r="B693" s="2" t="str">
        <f t="shared" si="18"/>
        <v xml:space="preserve">  </v>
      </c>
      <c r="C693" s="1" t="s">
        <v>477</v>
      </c>
      <c r="D693" s="1" t="s">
        <v>0</v>
      </c>
      <c r="E693" s="1" t="s">
        <v>14</v>
      </c>
      <c r="F693" s="2" t="s">
        <v>0</v>
      </c>
      <c r="G693" s="17" t="s">
        <v>1769</v>
      </c>
    </row>
    <row r="694" spans="1:7" ht="43.5" x14ac:dyDescent="0.25">
      <c r="A694" s="2" t="str">
        <f>"00081289"</f>
        <v>00081289</v>
      </c>
      <c r="B694" s="2" t="str">
        <f t="shared" si="18"/>
        <v xml:space="preserve">  </v>
      </c>
      <c r="C694" s="1" t="s">
        <v>478</v>
      </c>
      <c r="D694" s="1" t="s">
        <v>0</v>
      </c>
      <c r="E694" s="1" t="s">
        <v>14</v>
      </c>
      <c r="F694" s="2" t="s">
        <v>0</v>
      </c>
      <c r="G694" s="17" t="s">
        <v>1769</v>
      </c>
    </row>
    <row r="695" spans="1:7" ht="72" x14ac:dyDescent="0.25">
      <c r="A695" s="2" t="str">
        <f>"00081290"</f>
        <v>00081290</v>
      </c>
      <c r="B695" s="2" t="str">
        <f t="shared" si="18"/>
        <v xml:space="preserve">  </v>
      </c>
      <c r="C695" s="1" t="s">
        <v>479</v>
      </c>
      <c r="D695" s="1" t="s">
        <v>0</v>
      </c>
      <c r="E695" s="1" t="s">
        <v>12</v>
      </c>
      <c r="F695" s="2" t="s">
        <v>0</v>
      </c>
      <c r="G695" s="3">
        <v>39.31</v>
      </c>
    </row>
    <row r="696" spans="1:7" ht="100.5" x14ac:dyDescent="0.25">
      <c r="A696" s="2" t="str">
        <f>"00081291"</f>
        <v>00081291</v>
      </c>
      <c r="B696" s="2" t="str">
        <f t="shared" si="18"/>
        <v xml:space="preserve">  </v>
      </c>
      <c r="C696" s="1" t="s">
        <v>480</v>
      </c>
      <c r="D696" s="1" t="s">
        <v>0</v>
      </c>
      <c r="E696" s="1" t="s">
        <v>365</v>
      </c>
      <c r="F696" s="2" t="s">
        <v>0</v>
      </c>
      <c r="G696" s="3">
        <v>65.34</v>
      </c>
    </row>
    <row r="697" spans="1:7" ht="114.75" x14ac:dyDescent="0.25">
      <c r="A697" s="2" t="str">
        <f>"00081292"</f>
        <v>00081292</v>
      </c>
      <c r="B697" s="2" t="str">
        <f t="shared" si="18"/>
        <v xml:space="preserve">  </v>
      </c>
      <c r="C697" s="1" t="s">
        <v>481</v>
      </c>
      <c r="D697" s="1" t="s">
        <v>0</v>
      </c>
      <c r="E697" s="1" t="s">
        <v>482</v>
      </c>
      <c r="F697" s="2" t="s">
        <v>0</v>
      </c>
      <c r="G697" s="3">
        <v>675.4</v>
      </c>
    </row>
    <row r="698" spans="1:7" ht="114.75" x14ac:dyDescent="0.25">
      <c r="A698" s="2" t="str">
        <f>"00081293"</f>
        <v>00081293</v>
      </c>
      <c r="B698" s="2" t="str">
        <f t="shared" si="18"/>
        <v xml:space="preserve">  </v>
      </c>
      <c r="C698" s="1" t="s">
        <v>481</v>
      </c>
      <c r="D698" s="1" t="s">
        <v>0</v>
      </c>
      <c r="E698" s="1" t="s">
        <v>483</v>
      </c>
      <c r="F698" s="2" t="s">
        <v>0</v>
      </c>
      <c r="G698" s="3">
        <v>331</v>
      </c>
    </row>
    <row r="699" spans="1:7" ht="114.75" x14ac:dyDescent="0.25">
      <c r="A699" s="2" t="str">
        <f>"00081294"</f>
        <v>00081294</v>
      </c>
      <c r="B699" s="2" t="str">
        <f t="shared" si="18"/>
        <v xml:space="preserve">  </v>
      </c>
      <c r="C699" s="1" t="s">
        <v>481</v>
      </c>
      <c r="D699" s="1" t="s">
        <v>0</v>
      </c>
      <c r="E699" s="1" t="s">
        <v>484</v>
      </c>
      <c r="F699" s="2" t="s">
        <v>0</v>
      </c>
      <c r="G699" s="3">
        <v>202.4</v>
      </c>
    </row>
    <row r="700" spans="1:7" ht="114.75" x14ac:dyDescent="0.25">
      <c r="A700" s="2" t="str">
        <f>"00081295"</f>
        <v>00081295</v>
      </c>
      <c r="B700" s="2" t="str">
        <f t="shared" si="18"/>
        <v xml:space="preserve">  </v>
      </c>
      <c r="C700" s="1" t="s">
        <v>485</v>
      </c>
      <c r="D700" s="1" t="s">
        <v>0</v>
      </c>
      <c r="E700" s="1" t="s">
        <v>486</v>
      </c>
      <c r="F700" s="2" t="s">
        <v>0</v>
      </c>
      <c r="G700" s="3">
        <v>381.7</v>
      </c>
    </row>
    <row r="701" spans="1:7" ht="114.75" x14ac:dyDescent="0.25">
      <c r="A701" s="2" t="str">
        <f>"00081296"</f>
        <v>00081296</v>
      </c>
      <c r="B701" s="2" t="str">
        <f t="shared" si="18"/>
        <v xml:space="preserve">  </v>
      </c>
      <c r="C701" s="1" t="s">
        <v>485</v>
      </c>
      <c r="D701" s="1" t="s">
        <v>0</v>
      </c>
      <c r="E701" s="1" t="s">
        <v>486</v>
      </c>
      <c r="F701" s="2" t="s">
        <v>0</v>
      </c>
      <c r="G701" s="3">
        <v>337.73</v>
      </c>
    </row>
    <row r="702" spans="1:7" ht="114.75" x14ac:dyDescent="0.25">
      <c r="A702" s="2" t="str">
        <f>"00081297"</f>
        <v>00081297</v>
      </c>
      <c r="B702" s="2" t="str">
        <f t="shared" si="18"/>
        <v xml:space="preserve">  </v>
      </c>
      <c r="C702" s="1" t="s">
        <v>485</v>
      </c>
      <c r="D702" s="1" t="s">
        <v>0</v>
      </c>
      <c r="E702" s="1" t="s">
        <v>486</v>
      </c>
      <c r="F702" s="2" t="s">
        <v>0</v>
      </c>
      <c r="G702" s="3">
        <v>213.3</v>
      </c>
    </row>
    <row r="703" spans="1:7" ht="100.5" x14ac:dyDescent="0.25">
      <c r="A703" s="2" t="str">
        <f>"00081298"</f>
        <v>00081298</v>
      </c>
      <c r="B703" s="2" t="str">
        <f t="shared" si="18"/>
        <v xml:space="preserve">  </v>
      </c>
      <c r="C703" s="1" t="s">
        <v>487</v>
      </c>
      <c r="D703" s="1" t="s">
        <v>0</v>
      </c>
      <c r="E703" s="1" t="s">
        <v>486</v>
      </c>
      <c r="F703" s="2" t="s">
        <v>0</v>
      </c>
      <c r="G703" s="3">
        <v>641.85</v>
      </c>
    </row>
    <row r="704" spans="1:7" ht="100.5" x14ac:dyDescent="0.25">
      <c r="A704" s="2" t="str">
        <f>"00081299"</f>
        <v>00081299</v>
      </c>
      <c r="B704" s="2" t="str">
        <f t="shared" si="18"/>
        <v xml:space="preserve">  </v>
      </c>
      <c r="C704" s="1" t="s">
        <v>488</v>
      </c>
      <c r="D704" s="1" t="s">
        <v>0</v>
      </c>
      <c r="E704" s="1" t="s">
        <v>486</v>
      </c>
      <c r="F704" s="2" t="s">
        <v>0</v>
      </c>
      <c r="G704" s="3">
        <v>308</v>
      </c>
    </row>
    <row r="705" spans="1:7" ht="114.75" x14ac:dyDescent="0.25">
      <c r="A705" s="2" t="str">
        <f>"00081300"</f>
        <v>00081300</v>
      </c>
      <c r="B705" s="2" t="str">
        <f t="shared" si="18"/>
        <v xml:space="preserve">  </v>
      </c>
      <c r="C705" s="1" t="s">
        <v>489</v>
      </c>
      <c r="D705" s="1" t="s">
        <v>0</v>
      </c>
      <c r="E705" s="1" t="s">
        <v>396</v>
      </c>
      <c r="F705" s="2" t="s">
        <v>0</v>
      </c>
      <c r="G705" s="3">
        <v>238</v>
      </c>
    </row>
    <row r="706" spans="1:7" ht="114.75" x14ac:dyDescent="0.25">
      <c r="A706" s="2" t="str">
        <f>"00081301"</f>
        <v>00081301</v>
      </c>
      <c r="B706" s="2" t="str">
        <f t="shared" si="18"/>
        <v xml:space="preserve">  </v>
      </c>
      <c r="C706" s="1" t="s">
        <v>490</v>
      </c>
      <c r="D706" s="1" t="s">
        <v>0</v>
      </c>
      <c r="E706" s="1" t="s">
        <v>396</v>
      </c>
      <c r="F706" s="2" t="s">
        <v>0</v>
      </c>
      <c r="G706" s="3">
        <v>348.56</v>
      </c>
    </row>
    <row r="707" spans="1:7" ht="72" x14ac:dyDescent="0.25">
      <c r="A707" s="2" t="str">
        <f>"00081302"</f>
        <v>00081302</v>
      </c>
      <c r="B707" s="2" t="str">
        <f t="shared" si="18"/>
        <v xml:space="preserve">  </v>
      </c>
      <c r="C707" s="1" t="s">
        <v>491</v>
      </c>
      <c r="D707" s="1" t="s">
        <v>0</v>
      </c>
      <c r="E707" s="1" t="s">
        <v>396</v>
      </c>
      <c r="F707" s="2" t="s">
        <v>0</v>
      </c>
      <c r="G707" s="3">
        <v>527.87</v>
      </c>
    </row>
    <row r="708" spans="1:7" ht="72" x14ac:dyDescent="0.25">
      <c r="A708" s="2" t="str">
        <f>"00081303"</f>
        <v>00081303</v>
      </c>
      <c r="B708" s="2" t="str">
        <f t="shared" si="18"/>
        <v xml:space="preserve">  </v>
      </c>
      <c r="C708" s="1" t="s">
        <v>492</v>
      </c>
      <c r="D708" s="1" t="s">
        <v>0</v>
      </c>
      <c r="E708" s="1" t="s">
        <v>14</v>
      </c>
      <c r="F708" s="2" t="s">
        <v>0</v>
      </c>
      <c r="G708" s="17" t="s">
        <v>1769</v>
      </c>
    </row>
    <row r="709" spans="1:7" ht="86.25" x14ac:dyDescent="0.25">
      <c r="A709" s="2" t="str">
        <f>"00081304"</f>
        <v>00081304</v>
      </c>
      <c r="B709" s="2" t="str">
        <f t="shared" si="18"/>
        <v xml:space="preserve">  </v>
      </c>
      <c r="C709" s="1" t="s">
        <v>493</v>
      </c>
      <c r="D709" s="1" t="s">
        <v>0</v>
      </c>
      <c r="E709" s="1" t="s">
        <v>486</v>
      </c>
      <c r="F709" s="2" t="s">
        <v>0</v>
      </c>
      <c r="G709" s="3">
        <v>150</v>
      </c>
    </row>
    <row r="710" spans="1:7" ht="57.75" x14ac:dyDescent="0.25">
      <c r="A710" s="2" t="str">
        <f>"00081305"</f>
        <v>00081305</v>
      </c>
      <c r="B710" s="2" t="str">
        <f t="shared" si="18"/>
        <v xml:space="preserve">  </v>
      </c>
      <c r="C710" s="1" t="s">
        <v>494</v>
      </c>
      <c r="D710" s="1" t="s">
        <v>0</v>
      </c>
      <c r="E710" s="1" t="s">
        <v>14</v>
      </c>
      <c r="F710" s="2" t="s">
        <v>0</v>
      </c>
      <c r="G710" s="17" t="s">
        <v>1769</v>
      </c>
    </row>
    <row r="711" spans="1:7" ht="43.5" x14ac:dyDescent="0.25">
      <c r="A711" s="2" t="str">
        <f>"00081306"</f>
        <v>00081306</v>
      </c>
      <c r="B711" s="2" t="str">
        <f t="shared" si="18"/>
        <v xml:space="preserve">  </v>
      </c>
      <c r="C711" s="1" t="s">
        <v>495</v>
      </c>
      <c r="D711" s="1" t="s">
        <v>0</v>
      </c>
      <c r="E711" s="1" t="s">
        <v>14</v>
      </c>
      <c r="F711" s="2" t="s">
        <v>0</v>
      </c>
      <c r="G711" s="17" t="s">
        <v>1769</v>
      </c>
    </row>
    <row r="712" spans="1:7" ht="43.5" x14ac:dyDescent="0.25">
      <c r="A712" s="2" t="str">
        <f>"00081307"</f>
        <v>00081307</v>
      </c>
      <c r="B712" s="2" t="str">
        <f t="shared" si="18"/>
        <v xml:space="preserve">  </v>
      </c>
      <c r="C712" s="1" t="s">
        <v>496</v>
      </c>
      <c r="D712" s="1" t="s">
        <v>0</v>
      </c>
      <c r="E712" s="1" t="s">
        <v>14</v>
      </c>
      <c r="F712" s="2" t="s">
        <v>0</v>
      </c>
      <c r="G712" s="17" t="s">
        <v>1769</v>
      </c>
    </row>
    <row r="713" spans="1:7" ht="57.75" x14ac:dyDescent="0.25">
      <c r="A713" s="2" t="str">
        <f>"00081308"</f>
        <v>00081308</v>
      </c>
      <c r="B713" s="2" t="str">
        <f t="shared" si="18"/>
        <v xml:space="preserve">  </v>
      </c>
      <c r="C713" s="1" t="s">
        <v>497</v>
      </c>
      <c r="D713" s="1" t="s">
        <v>0</v>
      </c>
      <c r="E713" s="1" t="s">
        <v>14</v>
      </c>
      <c r="F713" s="2" t="s">
        <v>0</v>
      </c>
      <c r="G713" s="17" t="s">
        <v>1769</v>
      </c>
    </row>
    <row r="714" spans="1:7" ht="57.75" x14ac:dyDescent="0.25">
      <c r="A714" s="2" t="str">
        <f>"00081309"</f>
        <v>00081309</v>
      </c>
      <c r="B714" s="2" t="str">
        <f t="shared" si="18"/>
        <v xml:space="preserve">  </v>
      </c>
      <c r="C714" s="1" t="s">
        <v>498</v>
      </c>
      <c r="D714" s="1" t="s">
        <v>0</v>
      </c>
      <c r="E714" s="1" t="s">
        <v>14</v>
      </c>
      <c r="F714" s="2" t="s">
        <v>0</v>
      </c>
      <c r="G714" s="17" t="s">
        <v>1769</v>
      </c>
    </row>
    <row r="715" spans="1:7" ht="57.75" x14ac:dyDescent="0.25">
      <c r="A715" s="2" t="str">
        <f>"00081310"</f>
        <v>00081310</v>
      </c>
      <c r="B715" s="2" t="str">
        <f t="shared" si="18"/>
        <v xml:space="preserve">  </v>
      </c>
      <c r="C715" s="1" t="s">
        <v>499</v>
      </c>
      <c r="D715" s="1" t="s">
        <v>0</v>
      </c>
      <c r="E715" s="1" t="s">
        <v>396</v>
      </c>
      <c r="F715" s="2" t="s">
        <v>0</v>
      </c>
      <c r="G715" s="3">
        <v>246.52</v>
      </c>
    </row>
    <row r="716" spans="1:7" ht="43.5" x14ac:dyDescent="0.25">
      <c r="A716" s="2" t="str">
        <f>"00081311"</f>
        <v>00081311</v>
      </c>
      <c r="B716" s="2" t="str">
        <f t="shared" si="18"/>
        <v xml:space="preserve">  </v>
      </c>
      <c r="C716" s="1" t="s">
        <v>500</v>
      </c>
      <c r="D716" s="1" t="s">
        <v>0</v>
      </c>
      <c r="E716" s="1" t="s">
        <v>365</v>
      </c>
      <c r="F716" s="2" t="s">
        <v>0</v>
      </c>
      <c r="G716" s="3">
        <v>295.79000000000002</v>
      </c>
    </row>
    <row r="717" spans="1:7" ht="43.5" x14ac:dyDescent="0.25">
      <c r="A717" s="2" t="str">
        <f>"00081312"</f>
        <v>00081312</v>
      </c>
      <c r="B717" s="2" t="str">
        <f t="shared" si="18"/>
        <v xml:space="preserve">  </v>
      </c>
      <c r="C717" s="1" t="s">
        <v>501</v>
      </c>
      <c r="D717" s="1" t="s">
        <v>0</v>
      </c>
      <c r="E717" s="1" t="s">
        <v>14</v>
      </c>
      <c r="F717" s="2" t="s">
        <v>0</v>
      </c>
      <c r="G717" s="17" t="s">
        <v>1769</v>
      </c>
    </row>
    <row r="718" spans="1:7" ht="43.5" x14ac:dyDescent="0.25">
      <c r="A718" s="2" t="str">
        <f>"00081313"</f>
        <v>00081313</v>
      </c>
      <c r="B718" s="2" t="str">
        <f t="shared" si="18"/>
        <v xml:space="preserve">  </v>
      </c>
      <c r="C718" s="1" t="s">
        <v>502</v>
      </c>
      <c r="D718" s="1" t="s">
        <v>0</v>
      </c>
      <c r="E718" s="1" t="s">
        <v>14</v>
      </c>
      <c r="F718" s="2" t="s">
        <v>0</v>
      </c>
      <c r="G718" s="17" t="s">
        <v>1769</v>
      </c>
    </row>
    <row r="719" spans="1:7" ht="72" x14ac:dyDescent="0.25">
      <c r="A719" s="2" t="str">
        <f>"00081314"</f>
        <v>00081314</v>
      </c>
      <c r="B719" s="2" t="str">
        <f t="shared" si="18"/>
        <v xml:space="preserve">  </v>
      </c>
      <c r="C719" s="1" t="s">
        <v>503</v>
      </c>
      <c r="D719" s="1" t="s">
        <v>0</v>
      </c>
      <c r="E719" s="1" t="s">
        <v>486</v>
      </c>
      <c r="F719" s="2" t="s">
        <v>0</v>
      </c>
      <c r="G719" s="3">
        <v>329.51</v>
      </c>
    </row>
    <row r="720" spans="1:7" ht="100.5" x14ac:dyDescent="0.25">
      <c r="A720" s="2" t="str">
        <f>"00081315"</f>
        <v>00081315</v>
      </c>
      <c r="B720" s="2" t="str">
        <f t="shared" si="18"/>
        <v xml:space="preserve">  </v>
      </c>
      <c r="C720" s="1" t="s">
        <v>504</v>
      </c>
      <c r="D720" s="1" t="s">
        <v>0</v>
      </c>
      <c r="E720" s="1" t="s">
        <v>396</v>
      </c>
      <c r="F720" s="2" t="s">
        <v>0</v>
      </c>
      <c r="G720" s="3">
        <v>207.31</v>
      </c>
    </row>
    <row r="721" spans="1:7" ht="100.5" x14ac:dyDescent="0.25">
      <c r="A721" s="2" t="str">
        <f>"00081316"</f>
        <v>00081316</v>
      </c>
      <c r="B721" s="2" t="str">
        <f t="shared" si="18"/>
        <v xml:space="preserve">  </v>
      </c>
      <c r="C721" s="1" t="s">
        <v>505</v>
      </c>
      <c r="D721" s="1" t="s">
        <v>0</v>
      </c>
      <c r="E721" s="1" t="s">
        <v>396</v>
      </c>
      <c r="F721" s="2" t="s">
        <v>0</v>
      </c>
      <c r="G721" s="3">
        <v>207.31</v>
      </c>
    </row>
    <row r="722" spans="1:7" ht="114.75" x14ac:dyDescent="0.25">
      <c r="A722" s="2" t="str">
        <f>"00081317"</f>
        <v>00081317</v>
      </c>
      <c r="B722" s="2" t="str">
        <f t="shared" si="18"/>
        <v xml:space="preserve">  </v>
      </c>
      <c r="C722" s="1" t="s">
        <v>506</v>
      </c>
      <c r="D722" s="1" t="s">
        <v>0</v>
      </c>
      <c r="E722" s="1" t="s">
        <v>486</v>
      </c>
      <c r="F722" s="2" t="s">
        <v>0</v>
      </c>
      <c r="G722" s="3">
        <v>676.5</v>
      </c>
    </row>
    <row r="723" spans="1:7" ht="114.75" x14ac:dyDescent="0.25">
      <c r="A723" s="2" t="str">
        <f>"00081318"</f>
        <v>00081318</v>
      </c>
      <c r="B723" s="2" t="str">
        <f t="shared" si="18"/>
        <v xml:space="preserve">  </v>
      </c>
      <c r="C723" s="1" t="s">
        <v>506</v>
      </c>
      <c r="D723" s="1" t="s">
        <v>0</v>
      </c>
      <c r="E723" s="1" t="s">
        <v>396</v>
      </c>
      <c r="F723" s="2" t="s">
        <v>0</v>
      </c>
      <c r="G723" s="3">
        <v>331</v>
      </c>
    </row>
    <row r="724" spans="1:7" ht="114.75" x14ac:dyDescent="0.25">
      <c r="A724" s="2" t="str">
        <f>"00081319"</f>
        <v>00081319</v>
      </c>
      <c r="B724" s="2" t="str">
        <f t="shared" si="18"/>
        <v xml:space="preserve">  </v>
      </c>
      <c r="C724" s="1" t="s">
        <v>506</v>
      </c>
      <c r="D724" s="1" t="s">
        <v>0</v>
      </c>
      <c r="E724" s="1" t="s">
        <v>486</v>
      </c>
      <c r="F724" s="2" t="s">
        <v>0</v>
      </c>
      <c r="G724" s="3">
        <v>203.5</v>
      </c>
    </row>
    <row r="725" spans="1:7" ht="43.5" x14ac:dyDescent="0.25">
      <c r="A725" s="2" t="str">
        <f>"00081320"</f>
        <v>00081320</v>
      </c>
      <c r="B725" s="2" t="str">
        <f t="shared" si="18"/>
        <v xml:space="preserve">  </v>
      </c>
      <c r="C725" s="1" t="s">
        <v>507</v>
      </c>
      <c r="D725" s="1" t="s">
        <v>0</v>
      </c>
      <c r="E725" s="1" t="s">
        <v>14</v>
      </c>
      <c r="F725" s="2" t="s">
        <v>0</v>
      </c>
      <c r="G725" s="17" t="s">
        <v>1769</v>
      </c>
    </row>
    <row r="726" spans="1:7" ht="43.5" x14ac:dyDescent="0.25">
      <c r="A726" s="2" t="str">
        <f>"00081320"</f>
        <v>00081320</v>
      </c>
      <c r="B726" s="2" t="str">
        <f>"90"</f>
        <v>90</v>
      </c>
      <c r="C726" s="1" t="s">
        <v>507</v>
      </c>
      <c r="D726" s="1" t="s">
        <v>0</v>
      </c>
      <c r="E726" s="1" t="s">
        <v>14</v>
      </c>
      <c r="F726" s="2" t="s">
        <v>0</v>
      </c>
      <c r="G726" s="17" t="s">
        <v>1769</v>
      </c>
    </row>
    <row r="727" spans="1:7" ht="57.75" x14ac:dyDescent="0.25">
      <c r="A727" s="2" t="str">
        <f>"00081321"</f>
        <v>00081321</v>
      </c>
      <c r="B727" s="2" t="str">
        <f t="shared" ref="B727:B734" si="19">"  "</f>
        <v xml:space="preserve">  </v>
      </c>
      <c r="C727" s="1" t="s">
        <v>508</v>
      </c>
      <c r="D727" s="1" t="s">
        <v>0</v>
      </c>
      <c r="E727" s="1" t="s">
        <v>14</v>
      </c>
      <c r="F727" s="2" t="s">
        <v>0</v>
      </c>
      <c r="G727" s="17" t="s">
        <v>1769</v>
      </c>
    </row>
    <row r="728" spans="1:7" ht="57.75" x14ac:dyDescent="0.25">
      <c r="A728" s="2" t="str">
        <f>"00081322"</f>
        <v>00081322</v>
      </c>
      <c r="B728" s="2" t="str">
        <f t="shared" si="19"/>
        <v xml:space="preserve">  </v>
      </c>
      <c r="C728" s="1" t="s">
        <v>509</v>
      </c>
      <c r="D728" s="1" t="s">
        <v>0</v>
      </c>
      <c r="E728" s="1" t="s">
        <v>14</v>
      </c>
      <c r="F728" s="2" t="s">
        <v>0</v>
      </c>
      <c r="G728" s="17" t="s">
        <v>1769</v>
      </c>
    </row>
    <row r="729" spans="1:7" ht="72" x14ac:dyDescent="0.25">
      <c r="A729" s="2" t="str">
        <f>"00081323"</f>
        <v>00081323</v>
      </c>
      <c r="B729" s="2" t="str">
        <f t="shared" si="19"/>
        <v xml:space="preserve">  </v>
      </c>
      <c r="C729" s="1" t="s">
        <v>510</v>
      </c>
      <c r="D729" s="1" t="s">
        <v>0</v>
      </c>
      <c r="E729" s="1" t="s">
        <v>14</v>
      </c>
      <c r="F729" s="2" t="s">
        <v>0</v>
      </c>
      <c r="G729" s="17" t="s">
        <v>1769</v>
      </c>
    </row>
    <row r="730" spans="1:7" ht="72" x14ac:dyDescent="0.25">
      <c r="A730" s="2" t="str">
        <f>"00081324"</f>
        <v>00081324</v>
      </c>
      <c r="B730" s="2" t="str">
        <f t="shared" si="19"/>
        <v xml:space="preserve">  </v>
      </c>
      <c r="C730" s="1" t="s">
        <v>511</v>
      </c>
      <c r="D730" s="1" t="s">
        <v>0</v>
      </c>
      <c r="E730" s="1" t="s">
        <v>14</v>
      </c>
      <c r="F730" s="2" t="s">
        <v>0</v>
      </c>
      <c r="G730" s="17" t="s">
        <v>1769</v>
      </c>
    </row>
    <row r="731" spans="1:7" ht="57.75" x14ac:dyDescent="0.25">
      <c r="A731" s="2" t="str">
        <f>"00081325"</f>
        <v>00081325</v>
      </c>
      <c r="B731" s="2" t="str">
        <f t="shared" si="19"/>
        <v xml:space="preserve">  </v>
      </c>
      <c r="C731" s="1" t="s">
        <v>512</v>
      </c>
      <c r="D731" s="1" t="s">
        <v>0</v>
      </c>
      <c r="E731" s="1" t="s">
        <v>14</v>
      </c>
      <c r="F731" s="2" t="s">
        <v>0</v>
      </c>
      <c r="G731" s="17" t="s">
        <v>1769</v>
      </c>
    </row>
    <row r="732" spans="1:7" ht="57.75" x14ac:dyDescent="0.25">
      <c r="A732" s="2" t="str">
        <f>"00081326"</f>
        <v>00081326</v>
      </c>
      <c r="B732" s="2" t="str">
        <f t="shared" si="19"/>
        <v xml:space="preserve">  </v>
      </c>
      <c r="C732" s="1" t="s">
        <v>513</v>
      </c>
      <c r="D732" s="1" t="s">
        <v>0</v>
      </c>
      <c r="E732" s="1" t="s">
        <v>14</v>
      </c>
      <c r="F732" s="2" t="s">
        <v>0</v>
      </c>
      <c r="G732" s="17" t="s">
        <v>1769</v>
      </c>
    </row>
    <row r="733" spans="1:7" ht="57.75" x14ac:dyDescent="0.25">
      <c r="A733" s="2" t="str">
        <f>"00081327"</f>
        <v>00081327</v>
      </c>
      <c r="B733" s="2" t="str">
        <f t="shared" si="19"/>
        <v xml:space="preserve">  </v>
      </c>
      <c r="C733" s="1" t="s">
        <v>514</v>
      </c>
      <c r="D733" s="1" t="s">
        <v>0</v>
      </c>
      <c r="E733" s="1" t="s">
        <v>515</v>
      </c>
      <c r="F733" s="2" t="s">
        <v>0</v>
      </c>
      <c r="G733" s="3">
        <v>192</v>
      </c>
    </row>
    <row r="734" spans="1:7" ht="72" x14ac:dyDescent="0.25">
      <c r="A734" s="2" t="str">
        <f>"00081328"</f>
        <v>00081328</v>
      </c>
      <c r="B734" s="2" t="str">
        <f t="shared" si="19"/>
        <v xml:space="preserve">  </v>
      </c>
      <c r="C734" s="1" t="s">
        <v>516</v>
      </c>
      <c r="D734" s="1" t="s">
        <v>0</v>
      </c>
      <c r="E734" s="1" t="s">
        <v>14</v>
      </c>
      <c r="F734" s="2" t="s">
        <v>0</v>
      </c>
      <c r="G734" s="17" t="s">
        <v>1769</v>
      </c>
    </row>
    <row r="735" spans="1:7" ht="72" x14ac:dyDescent="0.25">
      <c r="A735" s="2" t="str">
        <f>"00081328"</f>
        <v>00081328</v>
      </c>
      <c r="B735" s="2" t="str">
        <f>"90"</f>
        <v>90</v>
      </c>
      <c r="C735" s="1" t="s">
        <v>516</v>
      </c>
      <c r="D735" s="1" t="s">
        <v>0</v>
      </c>
      <c r="E735" s="1" t="s">
        <v>14</v>
      </c>
      <c r="F735" s="2" t="s">
        <v>0</v>
      </c>
      <c r="G735" s="17" t="s">
        <v>1769</v>
      </c>
    </row>
    <row r="736" spans="1:7" ht="57.75" x14ac:dyDescent="0.25">
      <c r="A736" s="2" t="str">
        <f>"00081329"</f>
        <v>00081329</v>
      </c>
      <c r="B736" s="2" t="str">
        <f>"  "</f>
        <v xml:space="preserve">  </v>
      </c>
      <c r="C736" s="1" t="s">
        <v>517</v>
      </c>
      <c r="D736" s="1" t="s">
        <v>0</v>
      </c>
      <c r="E736" s="1" t="s">
        <v>12</v>
      </c>
      <c r="F736" s="2" t="s">
        <v>0</v>
      </c>
      <c r="G736" s="3">
        <v>137</v>
      </c>
    </row>
    <row r="737" spans="1:7" ht="57.75" x14ac:dyDescent="0.25">
      <c r="A737" s="2" t="str">
        <f>"00081329"</f>
        <v>00081329</v>
      </c>
      <c r="B737" s="2" t="str">
        <f>"90"</f>
        <v>90</v>
      </c>
      <c r="C737" s="1" t="s">
        <v>517</v>
      </c>
      <c r="D737" s="1" t="s">
        <v>0</v>
      </c>
      <c r="E737" s="1" t="s">
        <v>14</v>
      </c>
      <c r="F737" s="2" t="s">
        <v>0</v>
      </c>
      <c r="G737" s="17" t="s">
        <v>1769</v>
      </c>
    </row>
    <row r="738" spans="1:7" ht="100.5" x14ac:dyDescent="0.25">
      <c r="A738" s="2" t="str">
        <f>"00081330"</f>
        <v>00081330</v>
      </c>
      <c r="B738" s="2" t="str">
        <f>"  "</f>
        <v xml:space="preserve">  </v>
      </c>
      <c r="C738" s="1" t="s">
        <v>518</v>
      </c>
      <c r="D738" s="1" t="s">
        <v>0</v>
      </c>
      <c r="E738" s="1" t="s">
        <v>519</v>
      </c>
      <c r="F738" s="2" t="s">
        <v>0</v>
      </c>
      <c r="G738" s="3">
        <v>47</v>
      </c>
    </row>
    <row r="739" spans="1:7" ht="114.75" x14ac:dyDescent="0.25">
      <c r="A739" s="2" t="str">
        <f>"00081331"</f>
        <v>00081331</v>
      </c>
      <c r="B739" s="2" t="str">
        <f>"  "</f>
        <v xml:space="preserve">  </v>
      </c>
      <c r="C739" s="1" t="s">
        <v>520</v>
      </c>
      <c r="D739" s="1" t="s">
        <v>0</v>
      </c>
      <c r="E739" s="1" t="s">
        <v>486</v>
      </c>
      <c r="F739" s="2" t="s">
        <v>0</v>
      </c>
      <c r="G739" s="3">
        <v>51.07</v>
      </c>
    </row>
    <row r="740" spans="1:7" ht="100.5" x14ac:dyDescent="0.25">
      <c r="A740" s="2" t="str">
        <f>"00081332"</f>
        <v>00081332</v>
      </c>
      <c r="B740" s="2" t="str">
        <f>"  "</f>
        <v xml:space="preserve">  </v>
      </c>
      <c r="C740" s="1" t="s">
        <v>521</v>
      </c>
      <c r="D740" s="1" t="s">
        <v>0</v>
      </c>
      <c r="E740" s="1" t="s">
        <v>12</v>
      </c>
      <c r="F740" s="2" t="s">
        <v>0</v>
      </c>
      <c r="G740" s="3">
        <v>43.65</v>
      </c>
    </row>
    <row r="741" spans="1:7" ht="57.75" x14ac:dyDescent="0.25">
      <c r="A741" s="2" t="str">
        <f>"00081333"</f>
        <v>00081333</v>
      </c>
      <c r="B741" s="2" t="str">
        <f>"  "</f>
        <v xml:space="preserve">  </v>
      </c>
      <c r="C741" s="1" t="s">
        <v>522</v>
      </c>
      <c r="D741" s="1" t="s">
        <v>0</v>
      </c>
      <c r="E741" s="1" t="s">
        <v>14</v>
      </c>
      <c r="F741" s="2" t="s">
        <v>0</v>
      </c>
      <c r="G741" s="17" t="s">
        <v>1769</v>
      </c>
    </row>
    <row r="742" spans="1:7" ht="57.75" x14ac:dyDescent="0.25">
      <c r="A742" s="2" t="str">
        <f>"00081334"</f>
        <v>00081334</v>
      </c>
      <c r="B742" s="2" t="str">
        <f>"  "</f>
        <v xml:space="preserve">  </v>
      </c>
      <c r="C742" s="1" t="s">
        <v>523</v>
      </c>
      <c r="D742" s="1" t="s">
        <v>0</v>
      </c>
      <c r="E742" s="1" t="s">
        <v>14</v>
      </c>
      <c r="F742" s="2" t="s">
        <v>0</v>
      </c>
      <c r="G742" s="17" t="s">
        <v>1769</v>
      </c>
    </row>
    <row r="743" spans="1:7" ht="57.75" x14ac:dyDescent="0.25">
      <c r="A743" s="2" t="str">
        <f>"00081334"</f>
        <v>00081334</v>
      </c>
      <c r="B743" s="2" t="str">
        <f>"90"</f>
        <v>90</v>
      </c>
      <c r="C743" s="1" t="s">
        <v>523</v>
      </c>
      <c r="D743" s="1" t="s">
        <v>0</v>
      </c>
      <c r="E743" s="1" t="s">
        <v>14</v>
      </c>
      <c r="F743" s="2" t="s">
        <v>0</v>
      </c>
      <c r="G743" s="17" t="s">
        <v>1769</v>
      </c>
    </row>
    <row r="744" spans="1:7" ht="57.75" x14ac:dyDescent="0.25">
      <c r="A744" s="2" t="str">
        <f>"00081335"</f>
        <v>00081335</v>
      </c>
      <c r="B744" s="2" t="str">
        <f>"  "</f>
        <v xml:space="preserve">  </v>
      </c>
      <c r="C744" s="1" t="s">
        <v>524</v>
      </c>
      <c r="D744" s="1" t="s">
        <v>0</v>
      </c>
      <c r="E744" s="1" t="s">
        <v>14</v>
      </c>
      <c r="F744" s="2" t="s">
        <v>0</v>
      </c>
      <c r="G744" s="17" t="s">
        <v>1769</v>
      </c>
    </row>
    <row r="745" spans="1:7" ht="57.75" x14ac:dyDescent="0.25">
      <c r="A745" s="2" t="str">
        <f>"00081335"</f>
        <v>00081335</v>
      </c>
      <c r="B745" s="2" t="str">
        <f>"90"</f>
        <v>90</v>
      </c>
      <c r="C745" s="1" t="s">
        <v>524</v>
      </c>
      <c r="D745" s="1" t="s">
        <v>0</v>
      </c>
      <c r="E745" s="1" t="s">
        <v>14</v>
      </c>
      <c r="F745" s="2" t="s">
        <v>0</v>
      </c>
      <c r="G745" s="17" t="s">
        <v>1769</v>
      </c>
    </row>
    <row r="746" spans="1:7" ht="57.75" x14ac:dyDescent="0.25">
      <c r="A746" s="2" t="str">
        <f>"00081336"</f>
        <v>00081336</v>
      </c>
      <c r="B746" s="2" t="str">
        <f>"  "</f>
        <v xml:space="preserve">  </v>
      </c>
      <c r="C746" s="1" t="s">
        <v>525</v>
      </c>
      <c r="D746" s="1" t="s">
        <v>0</v>
      </c>
      <c r="E746" s="1" t="s">
        <v>14</v>
      </c>
      <c r="F746" s="2" t="s">
        <v>0</v>
      </c>
      <c r="G746" s="17" t="s">
        <v>1769</v>
      </c>
    </row>
    <row r="747" spans="1:7" ht="72" x14ac:dyDescent="0.25">
      <c r="A747" s="2" t="str">
        <f>"00081337"</f>
        <v>00081337</v>
      </c>
      <c r="B747" s="2" t="str">
        <f>"  "</f>
        <v xml:space="preserve">  </v>
      </c>
      <c r="C747" s="1" t="s">
        <v>526</v>
      </c>
      <c r="D747" s="1" t="s">
        <v>0</v>
      </c>
      <c r="E747" s="1" t="s">
        <v>14</v>
      </c>
      <c r="F747" s="2" t="s">
        <v>0</v>
      </c>
      <c r="G747" s="17" t="s">
        <v>1769</v>
      </c>
    </row>
    <row r="748" spans="1:7" ht="43.5" x14ac:dyDescent="0.25">
      <c r="A748" s="2" t="str">
        <f>"00081338"</f>
        <v>00081338</v>
      </c>
      <c r="B748" s="2" t="str">
        <f>"  "</f>
        <v xml:space="preserve">  </v>
      </c>
      <c r="C748" s="1" t="s">
        <v>527</v>
      </c>
      <c r="D748" s="1" t="s">
        <v>0</v>
      </c>
      <c r="E748" s="1" t="s">
        <v>14</v>
      </c>
      <c r="F748" s="2" t="s">
        <v>0</v>
      </c>
      <c r="G748" s="17" t="s">
        <v>1769</v>
      </c>
    </row>
    <row r="749" spans="1:7" ht="43.5" x14ac:dyDescent="0.25">
      <c r="A749" s="2" t="str">
        <f>"00081338"</f>
        <v>00081338</v>
      </c>
      <c r="B749" s="2" t="str">
        <f>"90"</f>
        <v>90</v>
      </c>
      <c r="C749" s="1" t="s">
        <v>527</v>
      </c>
      <c r="D749" s="1" t="s">
        <v>0</v>
      </c>
      <c r="E749" s="1" t="s">
        <v>14</v>
      </c>
      <c r="F749" s="2" t="s">
        <v>0</v>
      </c>
      <c r="G749" s="17" t="s">
        <v>1769</v>
      </c>
    </row>
    <row r="750" spans="1:7" ht="43.5" x14ac:dyDescent="0.25">
      <c r="A750" s="2" t="str">
        <f>"00081339"</f>
        <v>00081339</v>
      </c>
      <c r="B750" s="2" t="str">
        <f>"  "</f>
        <v xml:space="preserve">  </v>
      </c>
      <c r="C750" s="1" t="s">
        <v>528</v>
      </c>
      <c r="D750" s="1" t="s">
        <v>0</v>
      </c>
      <c r="E750" s="1" t="s">
        <v>14</v>
      </c>
      <c r="F750" s="2" t="s">
        <v>0</v>
      </c>
      <c r="G750" s="17" t="s">
        <v>1769</v>
      </c>
    </row>
    <row r="751" spans="1:7" ht="43.5" x14ac:dyDescent="0.25">
      <c r="A751" s="2" t="str">
        <f>"00081339"</f>
        <v>00081339</v>
      </c>
      <c r="B751" s="2" t="str">
        <f>"90"</f>
        <v>90</v>
      </c>
      <c r="C751" s="1" t="s">
        <v>528</v>
      </c>
      <c r="D751" s="1" t="s">
        <v>0</v>
      </c>
      <c r="E751" s="1" t="s">
        <v>14</v>
      </c>
      <c r="F751" s="2" t="s">
        <v>0</v>
      </c>
      <c r="G751" s="17" t="s">
        <v>1769</v>
      </c>
    </row>
    <row r="752" spans="1:7" ht="100.5" x14ac:dyDescent="0.25">
      <c r="A752" s="2" t="str">
        <f>"00081340"</f>
        <v>00081340</v>
      </c>
      <c r="B752" s="2" t="str">
        <f t="shared" ref="B752:B758" si="20">"  "</f>
        <v xml:space="preserve">  </v>
      </c>
      <c r="C752" s="1" t="s">
        <v>529</v>
      </c>
      <c r="D752" s="1" t="s">
        <v>0</v>
      </c>
      <c r="E752" s="1" t="s">
        <v>396</v>
      </c>
      <c r="F752" s="2" t="s">
        <v>0</v>
      </c>
      <c r="G752" s="3">
        <v>208.92</v>
      </c>
    </row>
    <row r="753" spans="1:7" ht="100.5" x14ac:dyDescent="0.25">
      <c r="A753" s="2" t="str">
        <f>"00081341"</f>
        <v>00081341</v>
      </c>
      <c r="B753" s="2" t="str">
        <f t="shared" si="20"/>
        <v xml:space="preserve">  </v>
      </c>
      <c r="C753" s="1" t="s">
        <v>529</v>
      </c>
      <c r="D753" s="1" t="s">
        <v>0</v>
      </c>
      <c r="E753" s="1" t="s">
        <v>12</v>
      </c>
      <c r="F753" s="2" t="s">
        <v>0</v>
      </c>
      <c r="G753" s="3">
        <v>49.59</v>
      </c>
    </row>
    <row r="754" spans="1:7" ht="100.5" x14ac:dyDescent="0.25">
      <c r="A754" s="2" t="str">
        <f>"00081342"</f>
        <v>00081342</v>
      </c>
      <c r="B754" s="2" t="str">
        <f t="shared" si="20"/>
        <v xml:space="preserve">  </v>
      </c>
      <c r="C754" s="1" t="s">
        <v>530</v>
      </c>
      <c r="D754" s="1" t="s">
        <v>0</v>
      </c>
      <c r="E754" s="1" t="s">
        <v>12</v>
      </c>
      <c r="F754" s="2" t="s">
        <v>0</v>
      </c>
      <c r="G754" s="3">
        <v>201.5</v>
      </c>
    </row>
    <row r="755" spans="1:7" ht="72" x14ac:dyDescent="0.25">
      <c r="A755" s="2" t="str">
        <f>"00081343"</f>
        <v>00081343</v>
      </c>
      <c r="B755" s="2" t="str">
        <f t="shared" si="20"/>
        <v xml:space="preserve">  </v>
      </c>
      <c r="C755" s="1" t="s">
        <v>531</v>
      </c>
      <c r="D755" s="1" t="s">
        <v>0</v>
      </c>
      <c r="E755" s="1" t="s">
        <v>14</v>
      </c>
      <c r="F755" s="2" t="s">
        <v>0</v>
      </c>
      <c r="G755" s="17" t="s">
        <v>1769</v>
      </c>
    </row>
    <row r="756" spans="1:7" ht="43.5" x14ac:dyDescent="0.25">
      <c r="A756" s="2" t="str">
        <f>"00081344"</f>
        <v>00081344</v>
      </c>
      <c r="B756" s="2" t="str">
        <f t="shared" si="20"/>
        <v xml:space="preserve">  </v>
      </c>
      <c r="C756" s="1" t="s">
        <v>532</v>
      </c>
      <c r="D756" s="1" t="s">
        <v>0</v>
      </c>
      <c r="E756" s="1" t="s">
        <v>14</v>
      </c>
      <c r="F756" s="2" t="s">
        <v>0</v>
      </c>
      <c r="G756" s="17" t="s">
        <v>1769</v>
      </c>
    </row>
    <row r="757" spans="1:7" ht="72" x14ac:dyDescent="0.25">
      <c r="A757" s="2" t="str">
        <f>"00081345"</f>
        <v>00081345</v>
      </c>
      <c r="B757" s="2" t="str">
        <f t="shared" si="20"/>
        <v xml:space="preserve">  </v>
      </c>
      <c r="C757" s="1" t="s">
        <v>533</v>
      </c>
      <c r="D757" s="1" t="s">
        <v>0</v>
      </c>
      <c r="E757" s="1" t="s">
        <v>12</v>
      </c>
      <c r="F757" s="2" t="s">
        <v>0</v>
      </c>
      <c r="G757" s="3">
        <v>185.2</v>
      </c>
    </row>
    <row r="758" spans="1:7" ht="57.75" x14ac:dyDescent="0.25">
      <c r="A758" s="2" t="str">
        <f>"00081346"</f>
        <v>00081346</v>
      </c>
      <c r="B758" s="2" t="str">
        <f t="shared" si="20"/>
        <v xml:space="preserve">  </v>
      </c>
      <c r="C758" s="1" t="s">
        <v>534</v>
      </c>
      <c r="D758" s="1" t="s">
        <v>0</v>
      </c>
      <c r="E758" s="1" t="s">
        <v>14</v>
      </c>
      <c r="F758" s="2" t="s">
        <v>0</v>
      </c>
      <c r="G758" s="17" t="s">
        <v>1769</v>
      </c>
    </row>
    <row r="759" spans="1:7" ht="57.75" x14ac:dyDescent="0.25">
      <c r="A759" s="2" t="str">
        <f>"00081346"</f>
        <v>00081346</v>
      </c>
      <c r="B759" s="2" t="str">
        <f>"90"</f>
        <v>90</v>
      </c>
      <c r="C759" s="1" t="s">
        <v>534</v>
      </c>
      <c r="D759" s="1" t="s">
        <v>0</v>
      </c>
      <c r="E759" s="1" t="s">
        <v>14</v>
      </c>
      <c r="F759" s="2" t="s">
        <v>0</v>
      </c>
      <c r="G759" s="17" t="s">
        <v>1769</v>
      </c>
    </row>
    <row r="760" spans="1:7" ht="43.5" x14ac:dyDescent="0.25">
      <c r="A760" s="2" t="str">
        <f>"00081347"</f>
        <v>00081347</v>
      </c>
      <c r="B760" s="2" t="str">
        <f>"  "</f>
        <v xml:space="preserve">  </v>
      </c>
      <c r="C760" s="1" t="s">
        <v>535</v>
      </c>
      <c r="D760" s="1" t="s">
        <v>0</v>
      </c>
      <c r="E760" s="1" t="s">
        <v>14</v>
      </c>
      <c r="F760" s="2" t="s">
        <v>0</v>
      </c>
      <c r="G760" s="17" t="s">
        <v>1769</v>
      </c>
    </row>
    <row r="761" spans="1:7" ht="43.5" x14ac:dyDescent="0.25">
      <c r="A761" s="2" t="str">
        <f>"00081347"</f>
        <v>00081347</v>
      </c>
      <c r="B761" s="2" t="str">
        <f>"90"</f>
        <v>90</v>
      </c>
      <c r="C761" s="1" t="s">
        <v>535</v>
      </c>
      <c r="D761" s="1" t="s">
        <v>0</v>
      </c>
      <c r="E761" s="1" t="s">
        <v>14</v>
      </c>
      <c r="F761" s="2" t="s">
        <v>0</v>
      </c>
      <c r="G761" s="17" t="s">
        <v>1769</v>
      </c>
    </row>
    <row r="762" spans="1:7" ht="43.5" x14ac:dyDescent="0.25">
      <c r="A762" s="2" t="str">
        <f>"00081348"</f>
        <v>00081348</v>
      </c>
      <c r="B762" s="2" t="str">
        <f>"  "</f>
        <v xml:space="preserve">  </v>
      </c>
      <c r="C762" s="1" t="s">
        <v>536</v>
      </c>
      <c r="D762" s="1" t="s">
        <v>0</v>
      </c>
      <c r="E762" s="1" t="s">
        <v>14</v>
      </c>
      <c r="F762" s="2" t="s">
        <v>0</v>
      </c>
      <c r="G762" s="17" t="s">
        <v>1769</v>
      </c>
    </row>
    <row r="763" spans="1:7" ht="43.5" x14ac:dyDescent="0.25">
      <c r="A763" s="2" t="str">
        <f>"00081348"</f>
        <v>00081348</v>
      </c>
      <c r="B763" s="2" t="str">
        <f>"90"</f>
        <v>90</v>
      </c>
      <c r="C763" s="1" t="s">
        <v>536</v>
      </c>
      <c r="D763" s="1" t="s">
        <v>0</v>
      </c>
      <c r="E763" s="1" t="s">
        <v>14</v>
      </c>
      <c r="F763" s="2" t="s">
        <v>0</v>
      </c>
      <c r="G763" s="17" t="s">
        <v>1769</v>
      </c>
    </row>
    <row r="764" spans="1:7" ht="43.5" x14ac:dyDescent="0.25">
      <c r="A764" s="2" t="str">
        <f>"00081349"</f>
        <v>00081349</v>
      </c>
      <c r="B764" s="2" t="str">
        <f>"  "</f>
        <v xml:space="preserve">  </v>
      </c>
      <c r="C764" s="1" t="s">
        <v>537</v>
      </c>
      <c r="D764" s="1" t="s">
        <v>0</v>
      </c>
      <c r="E764" s="1" t="s">
        <v>14</v>
      </c>
      <c r="F764" s="2" t="s">
        <v>0</v>
      </c>
      <c r="G764" s="17" t="s">
        <v>1769</v>
      </c>
    </row>
    <row r="765" spans="1:7" ht="43.5" x14ac:dyDescent="0.25">
      <c r="A765" s="2" t="str">
        <f>"00081349"</f>
        <v>00081349</v>
      </c>
      <c r="B765" s="2" t="str">
        <f>"90"</f>
        <v>90</v>
      </c>
      <c r="C765" s="1" t="s">
        <v>537</v>
      </c>
      <c r="D765" s="1" t="s">
        <v>0</v>
      </c>
      <c r="E765" s="1" t="s">
        <v>14</v>
      </c>
      <c r="F765" s="2" t="s">
        <v>0</v>
      </c>
      <c r="G765" s="17" t="s">
        <v>1769</v>
      </c>
    </row>
    <row r="766" spans="1:7" ht="100.5" x14ac:dyDescent="0.25">
      <c r="A766" s="2" t="str">
        <f>"00081350"</f>
        <v>00081350</v>
      </c>
      <c r="B766" s="2" t="str">
        <f>"  "</f>
        <v xml:space="preserve">  </v>
      </c>
      <c r="C766" s="1" t="s">
        <v>538</v>
      </c>
      <c r="D766" s="1" t="s">
        <v>0</v>
      </c>
      <c r="E766" s="1" t="s">
        <v>396</v>
      </c>
      <c r="F766" s="2" t="s">
        <v>0</v>
      </c>
      <c r="G766" s="3">
        <v>234</v>
      </c>
    </row>
    <row r="767" spans="1:7" ht="29.25" x14ac:dyDescent="0.25">
      <c r="A767" s="2" t="str">
        <f>"00081351"</f>
        <v>00081351</v>
      </c>
      <c r="B767" s="2" t="str">
        <f>"  "</f>
        <v xml:space="preserve">  </v>
      </c>
      <c r="C767" s="1" t="s">
        <v>539</v>
      </c>
      <c r="D767" s="1" t="s">
        <v>0</v>
      </c>
      <c r="E767" s="1" t="s">
        <v>14</v>
      </c>
      <c r="F767" s="2" t="s">
        <v>0</v>
      </c>
      <c r="G767" s="17" t="s">
        <v>1769</v>
      </c>
    </row>
    <row r="768" spans="1:7" ht="29.25" x14ac:dyDescent="0.25">
      <c r="A768" s="2" t="str">
        <f>"00081351"</f>
        <v>00081351</v>
      </c>
      <c r="B768" s="2" t="str">
        <f>"90"</f>
        <v>90</v>
      </c>
      <c r="C768" s="1" t="s">
        <v>539</v>
      </c>
      <c r="D768" s="1" t="s">
        <v>0</v>
      </c>
      <c r="E768" s="1" t="s">
        <v>14</v>
      </c>
      <c r="F768" s="2" t="s">
        <v>0</v>
      </c>
      <c r="G768" s="17" t="s">
        <v>1769</v>
      </c>
    </row>
    <row r="769" spans="1:7" ht="29.25" x14ac:dyDescent="0.25">
      <c r="A769" s="2" t="str">
        <f>"00081352"</f>
        <v>00081352</v>
      </c>
      <c r="B769" s="2" t="str">
        <f>"  "</f>
        <v xml:space="preserve">  </v>
      </c>
      <c r="C769" s="1" t="s">
        <v>540</v>
      </c>
      <c r="D769" s="1" t="s">
        <v>0</v>
      </c>
      <c r="E769" s="1" t="s">
        <v>14</v>
      </c>
      <c r="F769" s="2" t="s">
        <v>0</v>
      </c>
      <c r="G769" s="17" t="s">
        <v>1769</v>
      </c>
    </row>
    <row r="770" spans="1:7" ht="29.25" x14ac:dyDescent="0.25">
      <c r="A770" s="2" t="str">
        <f>"00081352"</f>
        <v>00081352</v>
      </c>
      <c r="B770" s="2" t="str">
        <f>"90"</f>
        <v>90</v>
      </c>
      <c r="C770" s="1" t="s">
        <v>540</v>
      </c>
      <c r="D770" s="1" t="s">
        <v>0</v>
      </c>
      <c r="E770" s="1" t="s">
        <v>14</v>
      </c>
      <c r="F770" s="2" t="s">
        <v>0</v>
      </c>
      <c r="G770" s="17" t="s">
        <v>1769</v>
      </c>
    </row>
    <row r="771" spans="1:7" ht="43.5" x14ac:dyDescent="0.25">
      <c r="A771" s="2" t="str">
        <f>"00081353"</f>
        <v>00081353</v>
      </c>
      <c r="B771" s="2" t="str">
        <f>"  "</f>
        <v xml:space="preserve">  </v>
      </c>
      <c r="C771" s="1" t="s">
        <v>541</v>
      </c>
      <c r="D771" s="1" t="s">
        <v>0</v>
      </c>
      <c r="E771" s="1" t="s">
        <v>14</v>
      </c>
      <c r="F771" s="2" t="s">
        <v>0</v>
      </c>
      <c r="G771" s="17" t="s">
        <v>1769</v>
      </c>
    </row>
    <row r="772" spans="1:7" ht="43.5" x14ac:dyDescent="0.25">
      <c r="A772" s="2" t="str">
        <f>"00081353"</f>
        <v>00081353</v>
      </c>
      <c r="B772" s="2" t="str">
        <f>"90"</f>
        <v>90</v>
      </c>
      <c r="C772" s="1" t="s">
        <v>541</v>
      </c>
      <c r="D772" s="1" t="s">
        <v>0</v>
      </c>
      <c r="E772" s="1" t="s">
        <v>14</v>
      </c>
      <c r="F772" s="2" t="s">
        <v>0</v>
      </c>
      <c r="G772" s="17" t="s">
        <v>1769</v>
      </c>
    </row>
    <row r="773" spans="1:7" ht="86.25" x14ac:dyDescent="0.25">
      <c r="A773" s="2" t="str">
        <f>"00081355"</f>
        <v>00081355</v>
      </c>
      <c r="B773" s="2" t="str">
        <f>"  "</f>
        <v xml:space="preserve">  </v>
      </c>
      <c r="C773" s="1" t="s">
        <v>542</v>
      </c>
      <c r="D773" s="1" t="s">
        <v>0</v>
      </c>
      <c r="E773" s="1" t="s">
        <v>396</v>
      </c>
      <c r="F773" s="2" t="s">
        <v>0</v>
      </c>
      <c r="G773" s="3">
        <v>88.2</v>
      </c>
    </row>
    <row r="774" spans="1:7" ht="43.5" x14ac:dyDescent="0.25">
      <c r="A774" s="2" t="str">
        <f>"00081357"</f>
        <v>00081357</v>
      </c>
      <c r="B774" s="2" t="str">
        <f>"  "</f>
        <v xml:space="preserve">  </v>
      </c>
      <c r="C774" s="1" t="s">
        <v>543</v>
      </c>
      <c r="D774" s="1" t="s">
        <v>0</v>
      </c>
      <c r="E774" s="1" t="s">
        <v>14</v>
      </c>
      <c r="F774" s="2" t="s">
        <v>0</v>
      </c>
      <c r="G774" s="17" t="s">
        <v>1769</v>
      </c>
    </row>
    <row r="775" spans="1:7" ht="43.5" x14ac:dyDescent="0.25">
      <c r="A775" s="2" t="str">
        <f>"00081357"</f>
        <v>00081357</v>
      </c>
      <c r="B775" s="2" t="str">
        <f>"90"</f>
        <v>90</v>
      </c>
      <c r="C775" s="1" t="s">
        <v>543</v>
      </c>
      <c r="D775" s="1" t="s">
        <v>0</v>
      </c>
      <c r="E775" s="1" t="s">
        <v>14</v>
      </c>
      <c r="F775" s="2" t="s">
        <v>0</v>
      </c>
      <c r="G775" s="17" t="s">
        <v>1769</v>
      </c>
    </row>
    <row r="776" spans="1:7" ht="43.5" x14ac:dyDescent="0.25">
      <c r="A776" s="2" t="str">
        <f>"00081360"</f>
        <v>00081360</v>
      </c>
      <c r="B776" s="2" t="str">
        <f>"  "</f>
        <v xml:space="preserve">  </v>
      </c>
      <c r="C776" s="1" t="s">
        <v>544</v>
      </c>
      <c r="D776" s="1" t="s">
        <v>0</v>
      </c>
      <c r="E776" s="1" t="s">
        <v>14</v>
      </c>
      <c r="F776" s="2" t="s">
        <v>0</v>
      </c>
      <c r="G776" s="17" t="s">
        <v>1769</v>
      </c>
    </row>
    <row r="777" spans="1:7" ht="43.5" x14ac:dyDescent="0.25">
      <c r="A777" s="2" t="str">
        <f>"00081360"</f>
        <v>00081360</v>
      </c>
      <c r="B777" s="2" t="str">
        <f>"90"</f>
        <v>90</v>
      </c>
      <c r="C777" s="1" t="s">
        <v>544</v>
      </c>
      <c r="D777" s="1" t="s">
        <v>0</v>
      </c>
      <c r="E777" s="1" t="s">
        <v>14</v>
      </c>
      <c r="F777" s="2" t="s">
        <v>0</v>
      </c>
      <c r="G777" s="17" t="s">
        <v>1769</v>
      </c>
    </row>
    <row r="778" spans="1:7" ht="57.75" x14ac:dyDescent="0.25">
      <c r="A778" s="2" t="str">
        <f>"00081361"</f>
        <v>00081361</v>
      </c>
      <c r="B778" s="2" t="str">
        <f>"  "</f>
        <v xml:space="preserve">  </v>
      </c>
      <c r="C778" s="1" t="s">
        <v>545</v>
      </c>
      <c r="D778" s="1" t="s">
        <v>0</v>
      </c>
      <c r="E778" s="1" t="s">
        <v>14</v>
      </c>
      <c r="F778" s="2" t="s">
        <v>0</v>
      </c>
      <c r="G778" s="17" t="s">
        <v>1769</v>
      </c>
    </row>
    <row r="779" spans="1:7" ht="57.75" x14ac:dyDescent="0.25">
      <c r="A779" s="2" t="str">
        <f>"00081361"</f>
        <v>00081361</v>
      </c>
      <c r="B779" s="2" t="str">
        <f>"90"</f>
        <v>90</v>
      </c>
      <c r="C779" s="1" t="s">
        <v>545</v>
      </c>
      <c r="D779" s="1" t="s">
        <v>0</v>
      </c>
      <c r="E779" s="1" t="s">
        <v>14</v>
      </c>
      <c r="F779" s="2" t="s">
        <v>0</v>
      </c>
      <c r="G779" s="17" t="s">
        <v>1769</v>
      </c>
    </row>
    <row r="780" spans="1:7" ht="57.75" x14ac:dyDescent="0.25">
      <c r="A780" s="2" t="str">
        <f>"00081362"</f>
        <v>00081362</v>
      </c>
      <c r="B780" s="2" t="str">
        <f>"  "</f>
        <v xml:space="preserve">  </v>
      </c>
      <c r="C780" s="1" t="s">
        <v>546</v>
      </c>
      <c r="D780" s="1" t="s">
        <v>0</v>
      </c>
      <c r="E780" s="1" t="s">
        <v>14</v>
      </c>
      <c r="F780" s="2" t="s">
        <v>0</v>
      </c>
      <c r="G780" s="17" t="s">
        <v>1769</v>
      </c>
    </row>
    <row r="781" spans="1:7" ht="57.75" x14ac:dyDescent="0.25">
      <c r="A781" s="2" t="str">
        <f>"00081362"</f>
        <v>00081362</v>
      </c>
      <c r="B781" s="2" t="str">
        <f>"90"</f>
        <v>90</v>
      </c>
      <c r="C781" s="1" t="s">
        <v>546</v>
      </c>
      <c r="D781" s="1" t="s">
        <v>0</v>
      </c>
      <c r="E781" s="1" t="s">
        <v>14</v>
      </c>
      <c r="F781" s="2" t="s">
        <v>0</v>
      </c>
      <c r="G781" s="17" t="s">
        <v>1769</v>
      </c>
    </row>
    <row r="782" spans="1:7" ht="72" x14ac:dyDescent="0.25">
      <c r="A782" s="2" t="str">
        <f>"00081363"</f>
        <v>00081363</v>
      </c>
      <c r="B782" s="2" t="str">
        <f>"  "</f>
        <v xml:space="preserve">  </v>
      </c>
      <c r="C782" s="1" t="s">
        <v>547</v>
      </c>
      <c r="D782" s="1" t="s">
        <v>0</v>
      </c>
      <c r="E782" s="1" t="s">
        <v>14</v>
      </c>
      <c r="F782" s="2" t="s">
        <v>0</v>
      </c>
      <c r="G782" s="17" t="s">
        <v>1769</v>
      </c>
    </row>
    <row r="783" spans="1:7" ht="72" x14ac:dyDescent="0.25">
      <c r="A783" s="2" t="str">
        <f>"00081363"</f>
        <v>00081363</v>
      </c>
      <c r="B783" s="2" t="str">
        <f>"90"</f>
        <v>90</v>
      </c>
      <c r="C783" s="1" t="s">
        <v>547</v>
      </c>
      <c r="D783" s="1" t="s">
        <v>0</v>
      </c>
      <c r="E783" s="1" t="s">
        <v>14</v>
      </c>
      <c r="F783" s="2" t="s">
        <v>0</v>
      </c>
      <c r="G783" s="17" t="s">
        <v>1769</v>
      </c>
    </row>
    <row r="784" spans="1:7" ht="57.75" x14ac:dyDescent="0.25">
      <c r="A784" s="2" t="str">
        <f>"00081364"</f>
        <v>00081364</v>
      </c>
      <c r="B784" s="2" t="str">
        <f>"  "</f>
        <v xml:space="preserve">  </v>
      </c>
      <c r="C784" s="1" t="s">
        <v>548</v>
      </c>
      <c r="D784" s="1" t="s">
        <v>0</v>
      </c>
      <c r="E784" s="1" t="s">
        <v>14</v>
      </c>
      <c r="F784" s="2" t="s">
        <v>0</v>
      </c>
      <c r="G784" s="17" t="s">
        <v>1769</v>
      </c>
    </row>
    <row r="785" spans="1:7" ht="57.75" x14ac:dyDescent="0.25">
      <c r="A785" s="2" t="str">
        <f>"00081364"</f>
        <v>00081364</v>
      </c>
      <c r="B785" s="2" t="str">
        <f>"90"</f>
        <v>90</v>
      </c>
      <c r="C785" s="1" t="s">
        <v>548</v>
      </c>
      <c r="D785" s="1" t="s">
        <v>0</v>
      </c>
      <c r="E785" s="1" t="s">
        <v>14</v>
      </c>
      <c r="F785" s="2" t="s">
        <v>0</v>
      </c>
      <c r="G785" s="17" t="s">
        <v>1769</v>
      </c>
    </row>
    <row r="786" spans="1:7" ht="72" x14ac:dyDescent="0.25">
      <c r="A786" s="2" t="str">
        <f>"00081370"</f>
        <v>00081370</v>
      </c>
      <c r="B786" s="2" t="str">
        <f t="shared" ref="B786:B817" si="21">"  "</f>
        <v xml:space="preserve">  </v>
      </c>
      <c r="C786" s="1" t="s">
        <v>549</v>
      </c>
      <c r="D786" s="1" t="s">
        <v>0</v>
      </c>
      <c r="E786" s="1" t="s">
        <v>12</v>
      </c>
      <c r="F786" s="2" t="s">
        <v>0</v>
      </c>
      <c r="G786" s="3">
        <v>402.12</v>
      </c>
    </row>
    <row r="787" spans="1:7" ht="72" x14ac:dyDescent="0.25">
      <c r="A787" s="2" t="str">
        <f>"00081371"</f>
        <v>00081371</v>
      </c>
      <c r="B787" s="2" t="str">
        <f t="shared" si="21"/>
        <v xml:space="preserve">  </v>
      </c>
      <c r="C787" s="1" t="s">
        <v>550</v>
      </c>
      <c r="D787" s="1" t="s">
        <v>0</v>
      </c>
      <c r="E787" s="1" t="s">
        <v>396</v>
      </c>
      <c r="F787" s="2" t="s">
        <v>0</v>
      </c>
      <c r="G787" s="3">
        <v>404.52</v>
      </c>
    </row>
    <row r="788" spans="1:7" ht="72" x14ac:dyDescent="0.25">
      <c r="A788" s="2" t="str">
        <f>"00081372"</f>
        <v>00081372</v>
      </c>
      <c r="B788" s="2" t="str">
        <f t="shared" si="21"/>
        <v xml:space="preserve">  </v>
      </c>
      <c r="C788" s="1" t="s">
        <v>551</v>
      </c>
      <c r="D788" s="1" t="s">
        <v>0</v>
      </c>
      <c r="E788" s="1" t="s">
        <v>552</v>
      </c>
      <c r="F788" s="2" t="s">
        <v>0</v>
      </c>
      <c r="G788" s="3">
        <v>403.59</v>
      </c>
    </row>
    <row r="789" spans="1:7" ht="57.75" x14ac:dyDescent="0.25">
      <c r="A789" s="2" t="str">
        <f>"00081373"</f>
        <v>00081373</v>
      </c>
      <c r="B789" s="2" t="str">
        <f t="shared" si="21"/>
        <v xml:space="preserve">  </v>
      </c>
      <c r="C789" s="1" t="s">
        <v>553</v>
      </c>
      <c r="D789" s="1" t="s">
        <v>0</v>
      </c>
      <c r="E789" s="1" t="s">
        <v>12</v>
      </c>
      <c r="F789" s="2" t="s">
        <v>0</v>
      </c>
      <c r="G789" s="3">
        <v>127.43</v>
      </c>
    </row>
    <row r="790" spans="1:7" ht="72" x14ac:dyDescent="0.25">
      <c r="A790" s="2" t="str">
        <f>"00081374"</f>
        <v>00081374</v>
      </c>
      <c r="B790" s="2" t="str">
        <f t="shared" si="21"/>
        <v xml:space="preserve">  </v>
      </c>
      <c r="C790" s="1" t="s">
        <v>554</v>
      </c>
      <c r="D790" s="1" t="s">
        <v>0</v>
      </c>
      <c r="E790" s="1" t="s">
        <v>12</v>
      </c>
      <c r="F790" s="2" t="s">
        <v>0</v>
      </c>
      <c r="G790" s="3">
        <v>74.33</v>
      </c>
    </row>
    <row r="791" spans="1:7" ht="57.75" x14ac:dyDescent="0.25">
      <c r="A791" s="2" t="str">
        <f>"00081375"</f>
        <v>00081375</v>
      </c>
      <c r="B791" s="2" t="str">
        <f t="shared" si="21"/>
        <v xml:space="preserve">  </v>
      </c>
      <c r="C791" s="1" t="s">
        <v>555</v>
      </c>
      <c r="D791" s="1" t="s">
        <v>0</v>
      </c>
      <c r="E791" s="1" t="s">
        <v>396</v>
      </c>
      <c r="F791" s="2" t="s">
        <v>0</v>
      </c>
      <c r="G791" s="3">
        <v>220.74</v>
      </c>
    </row>
    <row r="792" spans="1:7" ht="86.25" x14ac:dyDescent="0.25">
      <c r="A792" s="2" t="str">
        <f>"00081376"</f>
        <v>00081376</v>
      </c>
      <c r="B792" s="2" t="str">
        <f t="shared" si="21"/>
        <v xml:space="preserve">  </v>
      </c>
      <c r="C792" s="1" t="s">
        <v>556</v>
      </c>
      <c r="D792" s="1" t="s">
        <v>0</v>
      </c>
      <c r="E792" s="1" t="s">
        <v>396</v>
      </c>
      <c r="F792" s="2" t="s">
        <v>0</v>
      </c>
      <c r="G792" s="3">
        <v>122.22</v>
      </c>
    </row>
    <row r="793" spans="1:7" ht="57.75" x14ac:dyDescent="0.25">
      <c r="A793" s="2" t="str">
        <f>"00081377"</f>
        <v>00081377</v>
      </c>
      <c r="B793" s="2" t="str">
        <f t="shared" si="21"/>
        <v xml:space="preserve">  </v>
      </c>
      <c r="C793" s="1" t="s">
        <v>557</v>
      </c>
      <c r="D793" s="1" t="s">
        <v>0</v>
      </c>
      <c r="E793" s="1" t="s">
        <v>558</v>
      </c>
      <c r="F793" s="2" t="s">
        <v>0</v>
      </c>
      <c r="G793" s="3">
        <v>94.74</v>
      </c>
    </row>
    <row r="794" spans="1:7" ht="72" x14ac:dyDescent="0.25">
      <c r="A794" s="2" t="str">
        <f>"00081378"</f>
        <v>00081378</v>
      </c>
      <c r="B794" s="2" t="str">
        <f t="shared" si="21"/>
        <v xml:space="preserve">  </v>
      </c>
      <c r="C794" s="1" t="s">
        <v>559</v>
      </c>
      <c r="D794" s="1" t="s">
        <v>0</v>
      </c>
      <c r="E794" s="1" t="s">
        <v>396</v>
      </c>
      <c r="F794" s="2" t="s">
        <v>0</v>
      </c>
      <c r="G794" s="3">
        <v>345.57</v>
      </c>
    </row>
    <row r="795" spans="1:7" ht="72" x14ac:dyDescent="0.25">
      <c r="A795" s="2" t="str">
        <f>"00081379"</f>
        <v>00081379</v>
      </c>
      <c r="B795" s="2" t="str">
        <f t="shared" si="21"/>
        <v xml:space="preserve">  </v>
      </c>
      <c r="C795" s="1" t="s">
        <v>560</v>
      </c>
      <c r="D795" s="1" t="s">
        <v>0</v>
      </c>
      <c r="E795" s="1" t="s">
        <v>396</v>
      </c>
      <c r="F795" s="2" t="s">
        <v>0</v>
      </c>
      <c r="G795" s="3">
        <v>335.38</v>
      </c>
    </row>
    <row r="796" spans="1:7" ht="72" x14ac:dyDescent="0.25">
      <c r="A796" s="2" t="str">
        <f>"00081380"</f>
        <v>00081380</v>
      </c>
      <c r="B796" s="2" t="str">
        <f t="shared" si="21"/>
        <v xml:space="preserve">  </v>
      </c>
      <c r="C796" s="1" t="s">
        <v>561</v>
      </c>
      <c r="D796" s="1" t="s">
        <v>0</v>
      </c>
      <c r="E796" s="1" t="s">
        <v>396</v>
      </c>
      <c r="F796" s="2" t="s">
        <v>0</v>
      </c>
      <c r="G796" s="3">
        <v>177.25</v>
      </c>
    </row>
    <row r="797" spans="1:7" ht="72" x14ac:dyDescent="0.25">
      <c r="A797" s="2" t="str">
        <f>"00081381"</f>
        <v>00081381</v>
      </c>
      <c r="B797" s="2" t="str">
        <f t="shared" si="21"/>
        <v xml:space="preserve">  </v>
      </c>
      <c r="C797" s="1" t="s">
        <v>562</v>
      </c>
      <c r="D797" s="1" t="s">
        <v>0</v>
      </c>
      <c r="E797" s="1" t="s">
        <v>396</v>
      </c>
      <c r="F797" s="2" t="s">
        <v>0</v>
      </c>
      <c r="G797" s="3">
        <v>169.9</v>
      </c>
    </row>
    <row r="798" spans="1:7" ht="86.25" x14ac:dyDescent="0.25">
      <c r="A798" s="2" t="str">
        <f>"00081382"</f>
        <v>00081382</v>
      </c>
      <c r="B798" s="2" t="str">
        <f t="shared" si="21"/>
        <v xml:space="preserve">  </v>
      </c>
      <c r="C798" s="1" t="s">
        <v>563</v>
      </c>
      <c r="D798" s="1" t="s">
        <v>0</v>
      </c>
      <c r="E798" s="1" t="s">
        <v>396</v>
      </c>
      <c r="F798" s="2" t="s">
        <v>0</v>
      </c>
      <c r="G798" s="3">
        <v>123.68</v>
      </c>
    </row>
    <row r="799" spans="1:7" ht="86.25" x14ac:dyDescent="0.25">
      <c r="A799" s="2" t="str">
        <f>"00081383"</f>
        <v>00081383</v>
      </c>
      <c r="B799" s="2" t="str">
        <f t="shared" si="21"/>
        <v xml:space="preserve">  </v>
      </c>
      <c r="C799" s="1" t="s">
        <v>564</v>
      </c>
      <c r="D799" s="1" t="s">
        <v>0</v>
      </c>
      <c r="E799" s="1" t="s">
        <v>396</v>
      </c>
      <c r="F799" s="2" t="s">
        <v>0</v>
      </c>
      <c r="G799" s="3">
        <v>109.13</v>
      </c>
    </row>
    <row r="800" spans="1:7" ht="57.75" x14ac:dyDescent="0.25">
      <c r="A800" s="2" t="str">
        <f>"00081400"</f>
        <v>00081400</v>
      </c>
      <c r="B800" s="2" t="str">
        <f t="shared" si="21"/>
        <v xml:space="preserve">  </v>
      </c>
      <c r="C800" s="1" t="s">
        <v>565</v>
      </c>
      <c r="D800" s="1" t="s">
        <v>0</v>
      </c>
      <c r="E800" s="1" t="s">
        <v>12</v>
      </c>
      <c r="F800" s="2" t="s">
        <v>0</v>
      </c>
      <c r="G800" s="3">
        <v>63.96</v>
      </c>
    </row>
    <row r="801" spans="1:7" ht="100.5" x14ac:dyDescent="0.25">
      <c r="A801" s="2" t="str">
        <f>"00081401"</f>
        <v>00081401</v>
      </c>
      <c r="B801" s="2" t="str">
        <f t="shared" si="21"/>
        <v xml:space="preserve">  </v>
      </c>
      <c r="C801" s="1" t="s">
        <v>566</v>
      </c>
      <c r="D801" s="1" t="s">
        <v>0</v>
      </c>
      <c r="E801" s="1" t="s">
        <v>12</v>
      </c>
      <c r="F801" s="2" t="s">
        <v>0</v>
      </c>
      <c r="G801" s="3">
        <v>137</v>
      </c>
    </row>
    <row r="802" spans="1:7" ht="100.5" x14ac:dyDescent="0.25">
      <c r="A802" s="2" t="str">
        <f>"00081402"</f>
        <v>00081402</v>
      </c>
      <c r="B802" s="2" t="str">
        <f t="shared" si="21"/>
        <v xml:space="preserve">  </v>
      </c>
      <c r="C802" s="1" t="s">
        <v>567</v>
      </c>
      <c r="D802" s="1" t="s">
        <v>0</v>
      </c>
      <c r="E802" s="1" t="s">
        <v>12</v>
      </c>
      <c r="F802" s="2" t="s">
        <v>0</v>
      </c>
      <c r="G802" s="3">
        <v>150.33000000000001</v>
      </c>
    </row>
    <row r="803" spans="1:7" ht="100.5" x14ac:dyDescent="0.25">
      <c r="A803" s="2" t="str">
        <f>"00081403"</f>
        <v>00081403</v>
      </c>
      <c r="B803" s="2" t="str">
        <f t="shared" si="21"/>
        <v xml:space="preserve">  </v>
      </c>
      <c r="C803" s="1" t="s">
        <v>568</v>
      </c>
      <c r="D803" s="1" t="s">
        <v>0</v>
      </c>
      <c r="E803" s="1" t="s">
        <v>486</v>
      </c>
      <c r="F803" s="2" t="s">
        <v>0</v>
      </c>
      <c r="G803" s="3">
        <v>185.2</v>
      </c>
    </row>
    <row r="804" spans="1:7" ht="86.25" x14ac:dyDescent="0.25">
      <c r="A804" s="2" t="str">
        <f>"00081404"</f>
        <v>00081404</v>
      </c>
      <c r="B804" s="2" t="str">
        <f t="shared" si="21"/>
        <v xml:space="preserve">  </v>
      </c>
      <c r="C804" s="1" t="s">
        <v>569</v>
      </c>
      <c r="D804" s="1" t="s">
        <v>0</v>
      </c>
      <c r="E804" s="1" t="s">
        <v>486</v>
      </c>
      <c r="F804" s="2" t="s">
        <v>0</v>
      </c>
      <c r="G804" s="3">
        <v>274.83</v>
      </c>
    </row>
    <row r="805" spans="1:7" ht="86.25" x14ac:dyDescent="0.25">
      <c r="A805" s="2" t="str">
        <f>"00081405"</f>
        <v>00081405</v>
      </c>
      <c r="B805" s="2" t="str">
        <f t="shared" si="21"/>
        <v xml:space="preserve">  </v>
      </c>
      <c r="C805" s="1" t="s">
        <v>570</v>
      </c>
      <c r="D805" s="1" t="s">
        <v>0</v>
      </c>
      <c r="E805" s="1" t="s">
        <v>486</v>
      </c>
      <c r="F805" s="2" t="s">
        <v>0</v>
      </c>
      <c r="G805" s="3">
        <v>301.35000000000002</v>
      </c>
    </row>
    <row r="806" spans="1:7" ht="114.75" x14ac:dyDescent="0.25">
      <c r="A806" s="2" t="str">
        <f>"00081406"</f>
        <v>00081406</v>
      </c>
      <c r="B806" s="2" t="str">
        <f t="shared" si="21"/>
        <v xml:space="preserve">  </v>
      </c>
      <c r="C806" s="1" t="s">
        <v>571</v>
      </c>
      <c r="D806" s="1" t="s">
        <v>0</v>
      </c>
      <c r="E806" s="1" t="s">
        <v>486</v>
      </c>
      <c r="F806" s="2" t="s">
        <v>0</v>
      </c>
      <c r="G806" s="3">
        <v>282.88</v>
      </c>
    </row>
    <row r="807" spans="1:7" ht="100.5" x14ac:dyDescent="0.25">
      <c r="A807" s="2" t="str">
        <f>"00081407"</f>
        <v>00081407</v>
      </c>
      <c r="B807" s="2" t="str">
        <f t="shared" si="21"/>
        <v xml:space="preserve">  </v>
      </c>
      <c r="C807" s="1" t="s">
        <v>572</v>
      </c>
      <c r="D807" s="1" t="s">
        <v>0</v>
      </c>
      <c r="E807" s="1" t="s">
        <v>486</v>
      </c>
      <c r="F807" s="2" t="s">
        <v>0</v>
      </c>
      <c r="G807" s="3">
        <v>846.27</v>
      </c>
    </row>
    <row r="808" spans="1:7" ht="72" x14ac:dyDescent="0.25">
      <c r="A808" s="2" t="str">
        <f>"00081408"</f>
        <v>00081408</v>
      </c>
      <c r="B808" s="2" t="str">
        <f t="shared" si="21"/>
        <v xml:space="preserve">  </v>
      </c>
      <c r="C808" s="1" t="s">
        <v>573</v>
      </c>
      <c r="D808" s="1" t="s">
        <v>0</v>
      </c>
      <c r="E808" s="1" t="s">
        <v>12</v>
      </c>
      <c r="F808" s="2" t="s">
        <v>0</v>
      </c>
      <c r="G808" s="3">
        <v>2000</v>
      </c>
    </row>
    <row r="809" spans="1:7" ht="43.5" x14ac:dyDescent="0.25">
      <c r="A809" s="2" t="str">
        <f>"00081410"</f>
        <v>00081410</v>
      </c>
      <c r="B809" s="2" t="str">
        <f t="shared" si="21"/>
        <v xml:space="preserve">  </v>
      </c>
      <c r="C809" s="1" t="s">
        <v>574</v>
      </c>
      <c r="D809" s="1" t="s">
        <v>0</v>
      </c>
      <c r="E809" s="1" t="s">
        <v>14</v>
      </c>
      <c r="F809" s="2" t="s">
        <v>0</v>
      </c>
      <c r="G809" s="17" t="s">
        <v>1769</v>
      </c>
    </row>
    <row r="810" spans="1:7" ht="43.5" x14ac:dyDescent="0.25">
      <c r="A810" s="2" t="str">
        <f>"00081411"</f>
        <v>00081411</v>
      </c>
      <c r="B810" s="2" t="str">
        <f t="shared" si="21"/>
        <v xml:space="preserve">  </v>
      </c>
      <c r="C810" s="1" t="s">
        <v>574</v>
      </c>
      <c r="D810" s="1" t="s">
        <v>0</v>
      </c>
      <c r="E810" s="1" t="s">
        <v>14</v>
      </c>
      <c r="F810" s="2" t="s">
        <v>0</v>
      </c>
      <c r="G810" s="17" t="s">
        <v>1769</v>
      </c>
    </row>
    <row r="811" spans="1:7" ht="57.75" x14ac:dyDescent="0.25">
      <c r="A811" s="2" t="str">
        <f>"00081412"</f>
        <v>00081412</v>
      </c>
      <c r="B811" s="2" t="str">
        <f t="shared" si="21"/>
        <v xml:space="preserve">  </v>
      </c>
      <c r="C811" s="1" t="s">
        <v>575</v>
      </c>
      <c r="D811" s="1" t="s">
        <v>0</v>
      </c>
      <c r="E811" s="1" t="s">
        <v>14</v>
      </c>
      <c r="F811" s="2" t="s">
        <v>0</v>
      </c>
      <c r="G811" s="17" t="s">
        <v>1769</v>
      </c>
    </row>
    <row r="812" spans="1:7" ht="43.5" x14ac:dyDescent="0.25">
      <c r="A812" s="2" t="str">
        <f>"00081413"</f>
        <v>00081413</v>
      </c>
      <c r="B812" s="2" t="str">
        <f t="shared" si="21"/>
        <v xml:space="preserve">  </v>
      </c>
      <c r="C812" s="1" t="s">
        <v>574</v>
      </c>
      <c r="D812" s="1" t="s">
        <v>0</v>
      </c>
      <c r="E812" s="1" t="s">
        <v>14</v>
      </c>
      <c r="F812" s="2" t="s">
        <v>0</v>
      </c>
      <c r="G812" s="17" t="s">
        <v>1769</v>
      </c>
    </row>
    <row r="813" spans="1:7" ht="43.5" x14ac:dyDescent="0.25">
      <c r="A813" s="2" t="str">
        <f>"00081414"</f>
        <v>00081414</v>
      </c>
      <c r="B813" s="2" t="str">
        <f t="shared" si="21"/>
        <v xml:space="preserve">  </v>
      </c>
      <c r="C813" s="1" t="s">
        <v>574</v>
      </c>
      <c r="D813" s="1" t="s">
        <v>0</v>
      </c>
      <c r="E813" s="1" t="s">
        <v>14</v>
      </c>
      <c r="F813" s="2" t="s">
        <v>0</v>
      </c>
      <c r="G813" s="17" t="s">
        <v>1769</v>
      </c>
    </row>
    <row r="814" spans="1:7" ht="43.5" x14ac:dyDescent="0.25">
      <c r="A814" s="2" t="str">
        <f>"00081415"</f>
        <v>00081415</v>
      </c>
      <c r="B814" s="2" t="str">
        <f t="shared" si="21"/>
        <v xml:space="preserve">  </v>
      </c>
      <c r="C814" s="1" t="s">
        <v>576</v>
      </c>
      <c r="D814" s="1" t="s">
        <v>0</v>
      </c>
      <c r="E814" s="1" t="s">
        <v>14</v>
      </c>
      <c r="F814" s="2" t="s">
        <v>0</v>
      </c>
      <c r="G814" s="17" t="s">
        <v>1769</v>
      </c>
    </row>
    <row r="815" spans="1:7" ht="43.5" x14ac:dyDescent="0.25">
      <c r="A815" s="2" t="str">
        <f>"00081416"</f>
        <v>00081416</v>
      </c>
      <c r="B815" s="2" t="str">
        <f t="shared" si="21"/>
        <v xml:space="preserve">  </v>
      </c>
      <c r="C815" s="1" t="s">
        <v>577</v>
      </c>
      <c r="D815" s="1" t="s">
        <v>0</v>
      </c>
      <c r="E815" s="1" t="s">
        <v>14</v>
      </c>
      <c r="F815" s="2" t="s">
        <v>0</v>
      </c>
      <c r="G815" s="17" t="s">
        <v>1769</v>
      </c>
    </row>
    <row r="816" spans="1:7" ht="43.5" x14ac:dyDescent="0.25">
      <c r="A816" s="2" t="str">
        <f>"00081417"</f>
        <v>00081417</v>
      </c>
      <c r="B816" s="2" t="str">
        <f t="shared" si="21"/>
        <v xml:space="preserve">  </v>
      </c>
      <c r="C816" s="1" t="s">
        <v>578</v>
      </c>
      <c r="D816" s="1" t="s">
        <v>0</v>
      </c>
      <c r="E816" s="1" t="s">
        <v>14</v>
      </c>
      <c r="F816" s="2" t="s">
        <v>0</v>
      </c>
      <c r="G816" s="17" t="s">
        <v>1769</v>
      </c>
    </row>
    <row r="817" spans="1:7" ht="43.5" x14ac:dyDescent="0.25">
      <c r="A817" s="2" t="str">
        <f>"00081418"</f>
        <v>00081418</v>
      </c>
      <c r="B817" s="2" t="str">
        <f t="shared" si="21"/>
        <v xml:space="preserve">  </v>
      </c>
      <c r="C817" s="1" t="s">
        <v>579</v>
      </c>
      <c r="D817" s="1" t="s">
        <v>0</v>
      </c>
      <c r="E817" s="1" t="s">
        <v>12</v>
      </c>
      <c r="F817" s="2" t="s">
        <v>0</v>
      </c>
      <c r="G817" s="3">
        <v>917.08</v>
      </c>
    </row>
    <row r="818" spans="1:7" ht="43.5" x14ac:dyDescent="0.25">
      <c r="A818" s="2" t="str">
        <f>"00081418"</f>
        <v>00081418</v>
      </c>
      <c r="B818" s="2" t="str">
        <f>"90"</f>
        <v>90</v>
      </c>
      <c r="C818" s="1" t="s">
        <v>579</v>
      </c>
      <c r="D818" s="1" t="s">
        <v>0</v>
      </c>
      <c r="E818" s="1" t="s">
        <v>14</v>
      </c>
      <c r="F818" s="2" t="s">
        <v>0</v>
      </c>
      <c r="G818" s="17" t="s">
        <v>1769</v>
      </c>
    </row>
    <row r="819" spans="1:7" ht="43.5" x14ac:dyDescent="0.25">
      <c r="A819" s="2" t="str">
        <f>"00081419"</f>
        <v>00081419</v>
      </c>
      <c r="B819" s="2" t="str">
        <f>"  "</f>
        <v xml:space="preserve">  </v>
      </c>
      <c r="C819" s="1" t="s">
        <v>580</v>
      </c>
      <c r="D819" s="1" t="s">
        <v>0</v>
      </c>
      <c r="E819" s="1" t="s">
        <v>14</v>
      </c>
      <c r="F819" s="2" t="s">
        <v>0</v>
      </c>
      <c r="G819" s="17" t="s">
        <v>1769</v>
      </c>
    </row>
    <row r="820" spans="1:7" ht="43.5" x14ac:dyDescent="0.25">
      <c r="A820" s="2" t="str">
        <f>"00081419"</f>
        <v>00081419</v>
      </c>
      <c r="B820" s="2" t="str">
        <f>"90"</f>
        <v>90</v>
      </c>
      <c r="C820" s="1" t="s">
        <v>580</v>
      </c>
      <c r="D820" s="1" t="s">
        <v>0</v>
      </c>
      <c r="E820" s="1" t="s">
        <v>14</v>
      </c>
      <c r="F820" s="2" t="s">
        <v>0</v>
      </c>
      <c r="G820" s="17" t="s">
        <v>1769</v>
      </c>
    </row>
    <row r="821" spans="1:7" ht="43.5" x14ac:dyDescent="0.25">
      <c r="A821" s="2" t="str">
        <f>"00081420"</f>
        <v>00081420</v>
      </c>
      <c r="B821" s="2" t="str">
        <f t="shared" ref="B821:B835" si="22">"  "</f>
        <v xml:space="preserve">  </v>
      </c>
      <c r="C821" s="1" t="s">
        <v>581</v>
      </c>
      <c r="D821" s="1" t="s">
        <v>0</v>
      </c>
      <c r="E821" s="1" t="s">
        <v>14</v>
      </c>
      <c r="F821" s="2" t="s">
        <v>0</v>
      </c>
      <c r="G821" s="17" t="s">
        <v>1769</v>
      </c>
    </row>
    <row r="822" spans="1:7" ht="43.5" x14ac:dyDescent="0.25">
      <c r="A822" s="2" t="str">
        <f>"00081422"</f>
        <v>00081422</v>
      </c>
      <c r="B822" s="2" t="str">
        <f t="shared" si="22"/>
        <v xml:space="preserve">  </v>
      </c>
      <c r="C822" s="1" t="s">
        <v>581</v>
      </c>
      <c r="D822" s="1" t="s">
        <v>0</v>
      </c>
      <c r="E822" s="1" t="s">
        <v>14</v>
      </c>
      <c r="F822" s="2" t="s">
        <v>0</v>
      </c>
      <c r="G822" s="17" t="s">
        <v>1769</v>
      </c>
    </row>
    <row r="823" spans="1:7" ht="43.5" x14ac:dyDescent="0.25">
      <c r="A823" s="2" t="str">
        <f>"00081425"</f>
        <v>00081425</v>
      </c>
      <c r="B823" s="2" t="str">
        <f t="shared" si="22"/>
        <v xml:space="preserve">  </v>
      </c>
      <c r="C823" s="1" t="s">
        <v>577</v>
      </c>
      <c r="D823" s="1" t="s">
        <v>0</v>
      </c>
      <c r="E823" s="1" t="s">
        <v>14</v>
      </c>
      <c r="F823" s="2" t="s">
        <v>0</v>
      </c>
      <c r="G823" s="17" t="s">
        <v>1769</v>
      </c>
    </row>
    <row r="824" spans="1:7" ht="43.5" x14ac:dyDescent="0.25">
      <c r="A824" s="2" t="str">
        <f>"00081426"</f>
        <v>00081426</v>
      </c>
      <c r="B824" s="2" t="str">
        <f t="shared" si="22"/>
        <v xml:space="preserve">  </v>
      </c>
      <c r="C824" s="1" t="s">
        <v>577</v>
      </c>
      <c r="D824" s="1" t="s">
        <v>0</v>
      </c>
      <c r="E824" s="1" t="s">
        <v>14</v>
      </c>
      <c r="F824" s="2" t="s">
        <v>0</v>
      </c>
      <c r="G824" s="17" t="s">
        <v>1769</v>
      </c>
    </row>
    <row r="825" spans="1:7" ht="43.5" x14ac:dyDescent="0.25">
      <c r="A825" s="2" t="str">
        <f>"00081427"</f>
        <v>00081427</v>
      </c>
      <c r="B825" s="2" t="str">
        <f t="shared" si="22"/>
        <v xml:space="preserve">  </v>
      </c>
      <c r="C825" s="1" t="s">
        <v>578</v>
      </c>
      <c r="D825" s="1" t="s">
        <v>0</v>
      </c>
      <c r="E825" s="1" t="s">
        <v>14</v>
      </c>
      <c r="F825" s="2" t="s">
        <v>0</v>
      </c>
      <c r="G825" s="17" t="s">
        <v>1769</v>
      </c>
    </row>
    <row r="826" spans="1:7" ht="43.5" x14ac:dyDescent="0.25">
      <c r="A826" s="2" t="str">
        <f>"00081430"</f>
        <v>00081430</v>
      </c>
      <c r="B826" s="2" t="str">
        <f t="shared" si="22"/>
        <v xml:space="preserve">  </v>
      </c>
      <c r="C826" s="1" t="s">
        <v>582</v>
      </c>
      <c r="D826" s="1" t="s">
        <v>0</v>
      </c>
      <c r="E826" s="1" t="s">
        <v>14</v>
      </c>
      <c r="F826" s="2" t="s">
        <v>0</v>
      </c>
      <c r="G826" s="17" t="s">
        <v>1769</v>
      </c>
    </row>
    <row r="827" spans="1:7" ht="43.5" x14ac:dyDescent="0.25">
      <c r="A827" s="2" t="str">
        <f>"00081431"</f>
        <v>00081431</v>
      </c>
      <c r="B827" s="2" t="str">
        <f t="shared" si="22"/>
        <v xml:space="preserve">  </v>
      </c>
      <c r="C827" s="1" t="s">
        <v>582</v>
      </c>
      <c r="D827" s="1" t="s">
        <v>0</v>
      </c>
      <c r="E827" s="1" t="s">
        <v>14</v>
      </c>
      <c r="F827" s="2" t="s">
        <v>0</v>
      </c>
      <c r="G827" s="17" t="s">
        <v>1769</v>
      </c>
    </row>
    <row r="828" spans="1:7" ht="43.5" x14ac:dyDescent="0.25">
      <c r="A828" s="2" t="str">
        <f>"00081432"</f>
        <v>00081432</v>
      </c>
      <c r="B828" s="2" t="str">
        <f t="shared" si="22"/>
        <v xml:space="preserve">  </v>
      </c>
      <c r="C828" s="1" t="s">
        <v>583</v>
      </c>
      <c r="D828" s="1" t="s">
        <v>0</v>
      </c>
      <c r="E828" s="1" t="s">
        <v>14</v>
      </c>
      <c r="F828" s="2" t="s">
        <v>0</v>
      </c>
      <c r="G828" s="17" t="s">
        <v>1769</v>
      </c>
    </row>
    <row r="829" spans="1:7" ht="57.75" x14ac:dyDescent="0.25">
      <c r="A829" s="2" t="str">
        <f>"00081433"</f>
        <v>00081433</v>
      </c>
      <c r="B829" s="2" t="str">
        <f t="shared" si="22"/>
        <v xml:space="preserve">  </v>
      </c>
      <c r="C829" s="1" t="s">
        <v>584</v>
      </c>
      <c r="D829" s="1" t="s">
        <v>0</v>
      </c>
      <c r="E829" s="1" t="s">
        <v>14</v>
      </c>
      <c r="F829" s="2" t="s">
        <v>0</v>
      </c>
      <c r="G829" s="17" t="s">
        <v>1769</v>
      </c>
    </row>
    <row r="830" spans="1:7" ht="43.5" x14ac:dyDescent="0.25">
      <c r="A830" s="2" t="str">
        <f>"00081434"</f>
        <v>00081434</v>
      </c>
      <c r="B830" s="2" t="str">
        <f t="shared" si="22"/>
        <v xml:space="preserve">  </v>
      </c>
      <c r="C830" s="1" t="s">
        <v>585</v>
      </c>
      <c r="D830" s="1" t="s">
        <v>0</v>
      </c>
      <c r="E830" s="1" t="s">
        <v>14</v>
      </c>
      <c r="F830" s="2" t="s">
        <v>0</v>
      </c>
      <c r="G830" s="17" t="s">
        <v>1769</v>
      </c>
    </row>
    <row r="831" spans="1:7" ht="43.5" x14ac:dyDescent="0.25">
      <c r="A831" s="2" t="str">
        <f>"00081435"</f>
        <v>00081435</v>
      </c>
      <c r="B831" s="2" t="str">
        <f t="shared" si="22"/>
        <v xml:space="preserve">  </v>
      </c>
      <c r="C831" s="1" t="s">
        <v>477</v>
      </c>
      <c r="D831" s="1" t="s">
        <v>0</v>
      </c>
      <c r="E831" s="1" t="s">
        <v>14</v>
      </c>
      <c r="F831" s="2" t="s">
        <v>0</v>
      </c>
      <c r="G831" s="17" t="s">
        <v>1769</v>
      </c>
    </row>
    <row r="832" spans="1:7" ht="43.5" x14ac:dyDescent="0.25">
      <c r="A832" s="2" t="str">
        <f>"00081436"</f>
        <v>00081436</v>
      </c>
      <c r="B832" s="2" t="str">
        <f t="shared" si="22"/>
        <v xml:space="preserve">  </v>
      </c>
      <c r="C832" s="1" t="s">
        <v>477</v>
      </c>
      <c r="D832" s="1" t="s">
        <v>0</v>
      </c>
      <c r="E832" s="1" t="s">
        <v>14</v>
      </c>
      <c r="F832" s="2" t="s">
        <v>0</v>
      </c>
      <c r="G832" s="17" t="s">
        <v>1769</v>
      </c>
    </row>
    <row r="833" spans="1:7" ht="57.75" x14ac:dyDescent="0.25">
      <c r="A833" s="2" t="str">
        <f>"00081437"</f>
        <v>00081437</v>
      </c>
      <c r="B833" s="2" t="str">
        <f t="shared" si="22"/>
        <v xml:space="preserve">  </v>
      </c>
      <c r="C833" s="1" t="s">
        <v>586</v>
      </c>
      <c r="D833" s="1" t="s">
        <v>0</v>
      </c>
      <c r="E833" s="1" t="s">
        <v>14</v>
      </c>
      <c r="F833" s="2" t="s">
        <v>0</v>
      </c>
      <c r="G833" s="17" t="s">
        <v>1769</v>
      </c>
    </row>
    <row r="834" spans="1:7" ht="57.75" x14ac:dyDescent="0.25">
      <c r="A834" s="2" t="str">
        <f>"00081438"</f>
        <v>00081438</v>
      </c>
      <c r="B834" s="2" t="str">
        <f t="shared" si="22"/>
        <v xml:space="preserve">  </v>
      </c>
      <c r="C834" s="1" t="s">
        <v>587</v>
      </c>
      <c r="D834" s="1" t="s">
        <v>0</v>
      </c>
      <c r="E834" s="1" t="s">
        <v>14</v>
      </c>
      <c r="F834" s="2" t="s">
        <v>0</v>
      </c>
      <c r="G834" s="17" t="s">
        <v>1769</v>
      </c>
    </row>
    <row r="835" spans="1:7" ht="57.75" x14ac:dyDescent="0.25">
      <c r="A835" s="2" t="str">
        <f>"00081439"</f>
        <v>00081439</v>
      </c>
      <c r="B835" s="2" t="str">
        <f t="shared" si="22"/>
        <v xml:space="preserve">  </v>
      </c>
      <c r="C835" s="1" t="s">
        <v>588</v>
      </c>
      <c r="D835" s="1" t="s">
        <v>0</v>
      </c>
      <c r="E835" s="1" t="s">
        <v>14</v>
      </c>
      <c r="F835" s="2" t="s">
        <v>0</v>
      </c>
      <c r="G835" s="17" t="s">
        <v>1769</v>
      </c>
    </row>
    <row r="836" spans="1:7" ht="57.75" x14ac:dyDescent="0.25">
      <c r="A836" s="2" t="str">
        <f>"00081439"</f>
        <v>00081439</v>
      </c>
      <c r="B836" s="2" t="str">
        <f>"90"</f>
        <v>90</v>
      </c>
      <c r="C836" s="1" t="s">
        <v>588</v>
      </c>
      <c r="D836" s="1" t="s">
        <v>0</v>
      </c>
      <c r="E836" s="1" t="s">
        <v>14</v>
      </c>
      <c r="F836" s="2" t="s">
        <v>0</v>
      </c>
      <c r="G836" s="17" t="s">
        <v>1769</v>
      </c>
    </row>
    <row r="837" spans="1:7" ht="29.25" x14ac:dyDescent="0.25">
      <c r="A837" s="2" t="str">
        <f>"00081440"</f>
        <v>00081440</v>
      </c>
      <c r="B837" s="2" t="str">
        <f>"  "</f>
        <v xml:space="preserve">  </v>
      </c>
      <c r="C837" s="1" t="s">
        <v>589</v>
      </c>
      <c r="D837" s="1" t="s">
        <v>0</v>
      </c>
      <c r="E837" s="1" t="s">
        <v>14</v>
      </c>
      <c r="F837" s="2" t="s">
        <v>0</v>
      </c>
      <c r="G837" s="17" t="s">
        <v>1769</v>
      </c>
    </row>
    <row r="838" spans="1:7" ht="43.5" x14ac:dyDescent="0.25">
      <c r="A838" s="2" t="str">
        <f>"00081441"</f>
        <v>00081441</v>
      </c>
      <c r="B838" s="2" t="str">
        <f>"  "</f>
        <v xml:space="preserve">  </v>
      </c>
      <c r="C838" s="1" t="s">
        <v>590</v>
      </c>
      <c r="D838" s="1" t="s">
        <v>0</v>
      </c>
      <c r="E838" s="1" t="s">
        <v>12</v>
      </c>
      <c r="F838" s="2" t="s">
        <v>0</v>
      </c>
      <c r="G838" s="3">
        <v>2448.56</v>
      </c>
    </row>
    <row r="839" spans="1:7" ht="43.5" x14ac:dyDescent="0.25">
      <c r="A839" s="2" t="str">
        <f>"00081441"</f>
        <v>00081441</v>
      </c>
      <c r="B839" s="2" t="str">
        <f>"90"</f>
        <v>90</v>
      </c>
      <c r="C839" s="1" t="s">
        <v>590</v>
      </c>
      <c r="D839" s="1" t="s">
        <v>0</v>
      </c>
      <c r="E839" s="1" t="s">
        <v>14</v>
      </c>
      <c r="F839" s="2" t="s">
        <v>0</v>
      </c>
      <c r="G839" s="17" t="s">
        <v>1769</v>
      </c>
    </row>
    <row r="840" spans="1:7" ht="43.5" x14ac:dyDescent="0.25">
      <c r="A840" s="2" t="str">
        <f>"00081442"</f>
        <v>00081442</v>
      </c>
      <c r="B840" s="2" t="str">
        <f>"  "</f>
        <v xml:space="preserve">  </v>
      </c>
      <c r="C840" s="1" t="s">
        <v>591</v>
      </c>
      <c r="D840" s="1" t="s">
        <v>0</v>
      </c>
      <c r="E840" s="1" t="s">
        <v>14</v>
      </c>
      <c r="F840" s="2" t="s">
        <v>0</v>
      </c>
      <c r="G840" s="17" t="s">
        <v>1769</v>
      </c>
    </row>
    <row r="841" spans="1:7" ht="86.25" x14ac:dyDescent="0.25">
      <c r="A841" s="2" t="str">
        <f>"00081443"</f>
        <v>00081443</v>
      </c>
      <c r="B841" s="2" t="str">
        <f>"  "</f>
        <v xml:space="preserve">  </v>
      </c>
      <c r="C841" s="1" t="s">
        <v>592</v>
      </c>
      <c r="D841" s="1" t="s">
        <v>0</v>
      </c>
      <c r="E841" s="1" t="s">
        <v>12</v>
      </c>
      <c r="F841" s="2" t="s">
        <v>0</v>
      </c>
      <c r="G841" s="3">
        <v>2448.56</v>
      </c>
    </row>
    <row r="842" spans="1:7" ht="43.5" x14ac:dyDescent="0.25">
      <c r="A842" s="2" t="str">
        <f>"00081445"</f>
        <v>00081445</v>
      </c>
      <c r="B842" s="2" t="str">
        <f>"  "</f>
        <v xml:space="preserve">  </v>
      </c>
      <c r="C842" s="1" t="s">
        <v>593</v>
      </c>
      <c r="D842" s="1" t="s">
        <v>0</v>
      </c>
      <c r="E842" s="1" t="s">
        <v>14</v>
      </c>
      <c r="F842" s="2" t="s">
        <v>0</v>
      </c>
      <c r="G842" s="17" t="s">
        <v>1769</v>
      </c>
    </row>
    <row r="843" spans="1:7" ht="57.75" x14ac:dyDescent="0.25">
      <c r="A843" s="2" t="str">
        <f>"00081448"</f>
        <v>00081448</v>
      </c>
      <c r="B843" s="2" t="str">
        <f>"  "</f>
        <v xml:space="preserve">  </v>
      </c>
      <c r="C843" s="1" t="s">
        <v>594</v>
      </c>
      <c r="D843" s="1" t="s">
        <v>0</v>
      </c>
      <c r="E843" s="1" t="s">
        <v>14</v>
      </c>
      <c r="F843" s="2" t="s">
        <v>0</v>
      </c>
      <c r="G843" s="17" t="s">
        <v>1769</v>
      </c>
    </row>
    <row r="844" spans="1:7" ht="57.75" x14ac:dyDescent="0.25">
      <c r="A844" s="2" t="str">
        <f>"00081448"</f>
        <v>00081448</v>
      </c>
      <c r="B844" s="2" t="str">
        <f>"90"</f>
        <v>90</v>
      </c>
      <c r="C844" s="1" t="s">
        <v>594</v>
      </c>
      <c r="D844" s="1" t="s">
        <v>0</v>
      </c>
      <c r="E844" s="1" t="s">
        <v>14</v>
      </c>
      <c r="F844" s="2" t="s">
        <v>0</v>
      </c>
      <c r="G844" s="17" t="s">
        <v>1769</v>
      </c>
    </row>
    <row r="845" spans="1:7" ht="43.5" x14ac:dyDescent="0.25">
      <c r="A845" s="2" t="str">
        <f>"00081449"</f>
        <v>00081449</v>
      </c>
      <c r="B845" s="2" t="str">
        <f>"  "</f>
        <v xml:space="preserve">  </v>
      </c>
      <c r="C845" s="1" t="s">
        <v>595</v>
      </c>
      <c r="D845" s="1" t="s">
        <v>0</v>
      </c>
      <c r="E845" s="1" t="s">
        <v>14</v>
      </c>
      <c r="F845" s="2" t="s">
        <v>0</v>
      </c>
      <c r="G845" s="17" t="s">
        <v>1769</v>
      </c>
    </row>
    <row r="846" spans="1:7" ht="43.5" x14ac:dyDescent="0.25">
      <c r="A846" s="2" t="str">
        <f>"00081449"</f>
        <v>00081449</v>
      </c>
      <c r="B846" s="2" t="str">
        <f>"90"</f>
        <v>90</v>
      </c>
      <c r="C846" s="1" t="s">
        <v>595</v>
      </c>
      <c r="D846" s="1" t="s">
        <v>0</v>
      </c>
      <c r="E846" s="1" t="s">
        <v>14</v>
      </c>
      <c r="F846" s="2" t="s">
        <v>0</v>
      </c>
      <c r="G846" s="17" t="s">
        <v>1769</v>
      </c>
    </row>
    <row r="847" spans="1:7" ht="43.5" x14ac:dyDescent="0.25">
      <c r="A847" s="2" t="str">
        <f>"00081450"</f>
        <v>00081450</v>
      </c>
      <c r="B847" s="2" t="str">
        <f>"  "</f>
        <v xml:space="preserve">  </v>
      </c>
      <c r="C847" s="1" t="s">
        <v>596</v>
      </c>
      <c r="D847" s="1" t="s">
        <v>0</v>
      </c>
      <c r="E847" s="1" t="s">
        <v>14</v>
      </c>
      <c r="F847" s="2" t="s">
        <v>0</v>
      </c>
      <c r="G847" s="17" t="s">
        <v>1769</v>
      </c>
    </row>
    <row r="848" spans="1:7" ht="43.5" x14ac:dyDescent="0.25">
      <c r="A848" s="2" t="str">
        <f>"00081451"</f>
        <v>00081451</v>
      </c>
      <c r="B848" s="2" t="str">
        <f>"  "</f>
        <v xml:space="preserve">  </v>
      </c>
      <c r="C848" s="1" t="s">
        <v>597</v>
      </c>
      <c r="D848" s="1" t="s">
        <v>0</v>
      </c>
      <c r="E848" s="1" t="s">
        <v>14</v>
      </c>
      <c r="F848" s="2" t="s">
        <v>0</v>
      </c>
      <c r="G848" s="17" t="s">
        <v>1769</v>
      </c>
    </row>
    <row r="849" spans="1:7" ht="43.5" x14ac:dyDescent="0.25">
      <c r="A849" s="2" t="str">
        <f>"00081451"</f>
        <v>00081451</v>
      </c>
      <c r="B849" s="2" t="str">
        <f>"90"</f>
        <v>90</v>
      </c>
      <c r="C849" s="1" t="s">
        <v>597</v>
      </c>
      <c r="D849" s="1" t="s">
        <v>0</v>
      </c>
      <c r="E849" s="1" t="s">
        <v>14</v>
      </c>
      <c r="F849" s="2" t="s">
        <v>0</v>
      </c>
      <c r="G849" s="17" t="s">
        <v>1769</v>
      </c>
    </row>
    <row r="850" spans="1:7" ht="43.5" x14ac:dyDescent="0.25">
      <c r="A850" s="2" t="str">
        <f>"00081455"</f>
        <v>00081455</v>
      </c>
      <c r="B850" s="2" t="str">
        <f>"  "</f>
        <v xml:space="preserve">  </v>
      </c>
      <c r="C850" s="1" t="s">
        <v>598</v>
      </c>
      <c r="D850" s="1" t="s">
        <v>0</v>
      </c>
      <c r="E850" s="1" t="s">
        <v>14</v>
      </c>
      <c r="F850" s="2" t="s">
        <v>0</v>
      </c>
      <c r="G850" s="17" t="s">
        <v>1769</v>
      </c>
    </row>
    <row r="851" spans="1:7" ht="43.5" x14ac:dyDescent="0.25">
      <c r="A851" s="2" t="str">
        <f>"00081456"</f>
        <v>00081456</v>
      </c>
      <c r="B851" s="2" t="str">
        <f>"  "</f>
        <v xml:space="preserve">  </v>
      </c>
      <c r="C851" s="1" t="s">
        <v>599</v>
      </c>
      <c r="D851" s="1" t="s">
        <v>0</v>
      </c>
      <c r="E851" s="1" t="s">
        <v>14</v>
      </c>
      <c r="F851" s="2" t="s">
        <v>0</v>
      </c>
      <c r="G851" s="17" t="s">
        <v>1769</v>
      </c>
    </row>
    <row r="852" spans="1:7" ht="43.5" x14ac:dyDescent="0.25">
      <c r="A852" s="2" t="str">
        <f>"00081456"</f>
        <v>00081456</v>
      </c>
      <c r="B852" s="2" t="str">
        <f>"90"</f>
        <v>90</v>
      </c>
      <c r="C852" s="1" t="s">
        <v>599</v>
      </c>
      <c r="D852" s="1" t="s">
        <v>0</v>
      </c>
      <c r="E852" s="1" t="s">
        <v>14</v>
      </c>
      <c r="F852" s="2" t="s">
        <v>0</v>
      </c>
      <c r="G852" s="17" t="s">
        <v>1769</v>
      </c>
    </row>
    <row r="853" spans="1:7" ht="43.5" x14ac:dyDescent="0.25">
      <c r="A853" s="2" t="str">
        <f>"00081457"</f>
        <v>00081457</v>
      </c>
      <c r="B853" s="2" t="str">
        <f>"90"</f>
        <v>90</v>
      </c>
      <c r="C853" s="1" t="s">
        <v>600</v>
      </c>
      <c r="D853" s="1" t="s">
        <v>0</v>
      </c>
      <c r="E853" s="1" t="s">
        <v>14</v>
      </c>
      <c r="F853" s="2" t="s">
        <v>0</v>
      </c>
      <c r="G853" s="17" t="s">
        <v>1769</v>
      </c>
    </row>
    <row r="854" spans="1:7" ht="43.5" x14ac:dyDescent="0.25">
      <c r="A854" s="2" t="str">
        <f>"00081458"</f>
        <v>00081458</v>
      </c>
      <c r="B854" s="2" t="str">
        <f>"  "</f>
        <v xml:space="preserve">  </v>
      </c>
      <c r="C854" s="1" t="s">
        <v>601</v>
      </c>
      <c r="D854" s="1" t="s">
        <v>0</v>
      </c>
      <c r="E854" s="1" t="s">
        <v>14</v>
      </c>
      <c r="F854" s="2" t="s">
        <v>0</v>
      </c>
      <c r="G854" s="17" t="s">
        <v>1769</v>
      </c>
    </row>
    <row r="855" spans="1:7" ht="43.5" x14ac:dyDescent="0.25">
      <c r="A855" s="2" t="str">
        <f>"00081458"</f>
        <v>00081458</v>
      </c>
      <c r="B855" s="2" t="str">
        <f>"90"</f>
        <v>90</v>
      </c>
      <c r="C855" s="1" t="s">
        <v>601</v>
      </c>
      <c r="D855" s="1" t="s">
        <v>0</v>
      </c>
      <c r="E855" s="1" t="s">
        <v>14</v>
      </c>
      <c r="F855" s="2" t="s">
        <v>0</v>
      </c>
      <c r="G855" s="17" t="s">
        <v>1769</v>
      </c>
    </row>
    <row r="856" spans="1:7" ht="43.5" x14ac:dyDescent="0.25">
      <c r="A856" s="2" t="str">
        <f>"00081459"</f>
        <v>00081459</v>
      </c>
      <c r="B856" s="2" t="str">
        <f>"  "</f>
        <v xml:space="preserve">  </v>
      </c>
      <c r="C856" s="1" t="s">
        <v>602</v>
      </c>
      <c r="D856" s="1" t="s">
        <v>0</v>
      </c>
      <c r="E856" s="1" t="s">
        <v>14</v>
      </c>
      <c r="F856" s="2" t="s">
        <v>0</v>
      </c>
      <c r="G856" s="17" t="s">
        <v>1769</v>
      </c>
    </row>
    <row r="857" spans="1:7" ht="43.5" x14ac:dyDescent="0.25">
      <c r="A857" s="2" t="str">
        <f>"00081459"</f>
        <v>00081459</v>
      </c>
      <c r="B857" s="2" t="str">
        <f>"90"</f>
        <v>90</v>
      </c>
      <c r="C857" s="1" t="s">
        <v>602</v>
      </c>
      <c r="D857" s="1" t="s">
        <v>0</v>
      </c>
      <c r="E857" s="1" t="s">
        <v>14</v>
      </c>
      <c r="F857" s="2" t="s">
        <v>0</v>
      </c>
      <c r="G857" s="17" t="s">
        <v>1769</v>
      </c>
    </row>
    <row r="858" spans="1:7" ht="43.5" x14ac:dyDescent="0.25">
      <c r="A858" s="2" t="str">
        <f>"00081460"</f>
        <v>00081460</v>
      </c>
      <c r="B858" s="2" t="str">
        <f>"  "</f>
        <v xml:space="preserve">  </v>
      </c>
      <c r="C858" s="1" t="s">
        <v>577</v>
      </c>
      <c r="D858" s="1" t="s">
        <v>0</v>
      </c>
      <c r="E858" s="1" t="s">
        <v>14</v>
      </c>
      <c r="F858" s="2" t="s">
        <v>0</v>
      </c>
      <c r="G858" s="17" t="s">
        <v>1769</v>
      </c>
    </row>
    <row r="859" spans="1:7" ht="43.5" x14ac:dyDescent="0.25">
      <c r="A859" s="2" t="str">
        <f>"00081462"</f>
        <v>00081462</v>
      </c>
      <c r="B859" s="2" t="str">
        <f>"  "</f>
        <v xml:space="preserve">  </v>
      </c>
      <c r="C859" s="1" t="s">
        <v>603</v>
      </c>
      <c r="D859" s="1" t="s">
        <v>0</v>
      </c>
      <c r="E859" s="1" t="s">
        <v>14</v>
      </c>
      <c r="F859" s="2" t="s">
        <v>0</v>
      </c>
      <c r="G859" s="17" t="s">
        <v>1769</v>
      </c>
    </row>
    <row r="860" spans="1:7" ht="43.5" x14ac:dyDescent="0.25">
      <c r="A860" s="2" t="str">
        <f>"00081462"</f>
        <v>00081462</v>
      </c>
      <c r="B860" s="2" t="str">
        <f>"90"</f>
        <v>90</v>
      </c>
      <c r="C860" s="1" t="s">
        <v>603</v>
      </c>
      <c r="D860" s="1" t="s">
        <v>0</v>
      </c>
      <c r="E860" s="1" t="s">
        <v>14</v>
      </c>
      <c r="F860" s="2" t="s">
        <v>0</v>
      </c>
      <c r="G860" s="17" t="s">
        <v>1769</v>
      </c>
    </row>
    <row r="861" spans="1:7" ht="43.5" x14ac:dyDescent="0.25">
      <c r="A861" s="2" t="str">
        <f>"00081463"</f>
        <v>00081463</v>
      </c>
      <c r="B861" s="2" t="str">
        <f>"  "</f>
        <v xml:space="preserve">  </v>
      </c>
      <c r="C861" s="1" t="s">
        <v>604</v>
      </c>
      <c r="D861" s="1" t="s">
        <v>0</v>
      </c>
      <c r="E861" s="1" t="s">
        <v>14</v>
      </c>
      <c r="F861" s="2" t="s">
        <v>0</v>
      </c>
      <c r="G861" s="17" t="s">
        <v>1769</v>
      </c>
    </row>
    <row r="862" spans="1:7" ht="43.5" x14ac:dyDescent="0.25">
      <c r="A862" s="2" t="str">
        <f>"00081463"</f>
        <v>00081463</v>
      </c>
      <c r="B862" s="2" t="str">
        <f>"90"</f>
        <v>90</v>
      </c>
      <c r="C862" s="1" t="s">
        <v>604</v>
      </c>
      <c r="D862" s="1" t="s">
        <v>0</v>
      </c>
      <c r="E862" s="1" t="s">
        <v>14</v>
      </c>
      <c r="F862" s="2" t="s">
        <v>0</v>
      </c>
      <c r="G862" s="17" t="s">
        <v>1769</v>
      </c>
    </row>
    <row r="863" spans="1:7" ht="43.5" x14ac:dyDescent="0.25">
      <c r="A863" s="2" t="str">
        <f>"00081464"</f>
        <v>00081464</v>
      </c>
      <c r="B863" s="2" t="str">
        <f>"  "</f>
        <v xml:space="preserve">  </v>
      </c>
      <c r="C863" s="1" t="s">
        <v>603</v>
      </c>
      <c r="D863" s="1" t="s">
        <v>0</v>
      </c>
      <c r="E863" s="1" t="s">
        <v>14</v>
      </c>
      <c r="F863" s="2" t="s">
        <v>0</v>
      </c>
      <c r="G863" s="17" t="s">
        <v>1769</v>
      </c>
    </row>
    <row r="864" spans="1:7" ht="43.5" x14ac:dyDescent="0.25">
      <c r="A864" s="2" t="str">
        <f>"00081464"</f>
        <v>00081464</v>
      </c>
      <c r="B864" s="2" t="str">
        <f>"90"</f>
        <v>90</v>
      </c>
      <c r="C864" s="1" t="s">
        <v>603</v>
      </c>
      <c r="D864" s="1" t="s">
        <v>0</v>
      </c>
      <c r="E864" s="1" t="s">
        <v>14</v>
      </c>
      <c r="F864" s="2" t="s">
        <v>0</v>
      </c>
      <c r="G864" s="17" t="s">
        <v>1769</v>
      </c>
    </row>
    <row r="865" spans="1:7" ht="43.5" x14ac:dyDescent="0.25">
      <c r="A865" s="2" t="str">
        <f>"00081465"</f>
        <v>00081465</v>
      </c>
      <c r="B865" s="2" t="str">
        <f t="shared" ref="B865:B880" si="23">"  "</f>
        <v xml:space="preserve">  </v>
      </c>
      <c r="C865" s="1" t="s">
        <v>577</v>
      </c>
      <c r="D865" s="1" t="s">
        <v>0</v>
      </c>
      <c r="E865" s="1" t="s">
        <v>14</v>
      </c>
      <c r="F865" s="2" t="s">
        <v>0</v>
      </c>
      <c r="G865" s="17" t="s">
        <v>1769</v>
      </c>
    </row>
    <row r="866" spans="1:7" ht="43.5" x14ac:dyDescent="0.25">
      <c r="A866" s="2" t="str">
        <f>"00081470"</f>
        <v>00081470</v>
      </c>
      <c r="B866" s="2" t="str">
        <f t="shared" si="23"/>
        <v xml:space="preserve">  </v>
      </c>
      <c r="C866" s="1" t="s">
        <v>605</v>
      </c>
      <c r="D866" s="1" t="s">
        <v>0</v>
      </c>
      <c r="E866" s="1" t="s">
        <v>14</v>
      </c>
      <c r="F866" s="2" t="s">
        <v>0</v>
      </c>
      <c r="G866" s="17" t="s">
        <v>1769</v>
      </c>
    </row>
    <row r="867" spans="1:7" ht="43.5" x14ac:dyDescent="0.25">
      <c r="A867" s="2" t="str">
        <f>"00081471"</f>
        <v>00081471</v>
      </c>
      <c r="B867" s="2" t="str">
        <f t="shared" si="23"/>
        <v xml:space="preserve">  </v>
      </c>
      <c r="C867" s="1" t="s">
        <v>605</v>
      </c>
      <c r="D867" s="1" t="s">
        <v>0</v>
      </c>
      <c r="E867" s="1" t="s">
        <v>14</v>
      </c>
      <c r="F867" s="2" t="s">
        <v>0</v>
      </c>
      <c r="G867" s="17" t="s">
        <v>1769</v>
      </c>
    </row>
    <row r="868" spans="1:7" ht="100.5" x14ac:dyDescent="0.25">
      <c r="A868" s="2" t="str">
        <f>"00081479"</f>
        <v>00081479</v>
      </c>
      <c r="B868" s="2" t="str">
        <f t="shared" si="23"/>
        <v xml:space="preserve">  </v>
      </c>
      <c r="C868" s="1" t="s">
        <v>606</v>
      </c>
      <c r="D868" s="1" t="s">
        <v>0</v>
      </c>
      <c r="E868" s="1" t="s">
        <v>607</v>
      </c>
      <c r="F868" s="2" t="s">
        <v>0</v>
      </c>
      <c r="G868" s="17" t="s">
        <v>1770</v>
      </c>
    </row>
    <row r="869" spans="1:7" ht="72" x14ac:dyDescent="0.25">
      <c r="A869" s="2" t="str">
        <f>"00081490"</f>
        <v>00081490</v>
      </c>
      <c r="B869" s="2" t="str">
        <f t="shared" si="23"/>
        <v xml:space="preserve">  </v>
      </c>
      <c r="C869" s="1" t="s">
        <v>608</v>
      </c>
      <c r="D869" s="1" t="s">
        <v>0</v>
      </c>
      <c r="E869" s="1" t="s">
        <v>14</v>
      </c>
      <c r="F869" s="2" t="s">
        <v>0</v>
      </c>
      <c r="G869" s="17" t="s">
        <v>1769</v>
      </c>
    </row>
    <row r="870" spans="1:7" ht="43.5" x14ac:dyDescent="0.25">
      <c r="A870" s="2" t="str">
        <f>"00081493"</f>
        <v>00081493</v>
      </c>
      <c r="B870" s="2" t="str">
        <f t="shared" si="23"/>
        <v xml:space="preserve">  </v>
      </c>
      <c r="C870" s="1" t="s">
        <v>609</v>
      </c>
      <c r="D870" s="1" t="s">
        <v>0</v>
      </c>
      <c r="E870" s="1" t="s">
        <v>14</v>
      </c>
      <c r="F870" s="2" t="s">
        <v>0</v>
      </c>
      <c r="G870" s="17" t="s">
        <v>1769</v>
      </c>
    </row>
    <row r="871" spans="1:7" ht="57.75" x14ac:dyDescent="0.25">
      <c r="A871" s="2" t="str">
        <f>"00081500"</f>
        <v>00081500</v>
      </c>
      <c r="B871" s="2" t="str">
        <f t="shared" si="23"/>
        <v xml:space="preserve">  </v>
      </c>
      <c r="C871" s="1" t="s">
        <v>610</v>
      </c>
      <c r="D871" s="1" t="s">
        <v>0</v>
      </c>
      <c r="E871" s="1" t="s">
        <v>14</v>
      </c>
      <c r="F871" s="2" t="s">
        <v>0</v>
      </c>
      <c r="G871" s="17" t="s">
        <v>1769</v>
      </c>
    </row>
    <row r="872" spans="1:7" ht="86.25" x14ac:dyDescent="0.25">
      <c r="A872" s="2" t="str">
        <f>"00081503"</f>
        <v>00081503</v>
      </c>
      <c r="B872" s="2" t="str">
        <f t="shared" si="23"/>
        <v xml:space="preserve">  </v>
      </c>
      <c r="C872" s="1" t="s">
        <v>611</v>
      </c>
      <c r="D872" s="1" t="s">
        <v>0</v>
      </c>
      <c r="E872" s="1" t="s">
        <v>14</v>
      </c>
      <c r="F872" s="2" t="s">
        <v>0</v>
      </c>
      <c r="G872" s="17" t="s">
        <v>1769</v>
      </c>
    </row>
    <row r="873" spans="1:7" ht="43.5" x14ac:dyDescent="0.25">
      <c r="A873" s="2" t="str">
        <f>"00081504"</f>
        <v>00081504</v>
      </c>
      <c r="B873" s="2" t="str">
        <f t="shared" si="23"/>
        <v xml:space="preserve">  </v>
      </c>
      <c r="C873" s="1" t="s">
        <v>612</v>
      </c>
      <c r="D873" s="1" t="s">
        <v>0</v>
      </c>
      <c r="E873" s="1" t="s">
        <v>14</v>
      </c>
      <c r="F873" s="2" t="s">
        <v>0</v>
      </c>
      <c r="G873" s="17" t="s">
        <v>1769</v>
      </c>
    </row>
    <row r="874" spans="1:7" ht="29.25" x14ac:dyDescent="0.25">
      <c r="A874" s="2" t="str">
        <f>"00081507"</f>
        <v>00081507</v>
      </c>
      <c r="B874" s="2" t="str">
        <f t="shared" si="23"/>
        <v xml:space="preserve">  </v>
      </c>
      <c r="C874" s="1" t="s">
        <v>613</v>
      </c>
      <c r="D874" s="1" t="s">
        <v>0</v>
      </c>
      <c r="E874" s="1" t="s">
        <v>14</v>
      </c>
      <c r="F874" s="2" t="s">
        <v>0</v>
      </c>
      <c r="G874" s="17" t="s">
        <v>1769</v>
      </c>
    </row>
    <row r="875" spans="1:7" ht="114.75" x14ac:dyDescent="0.25">
      <c r="A875" s="2" t="str">
        <f>"00081508"</f>
        <v>00081508</v>
      </c>
      <c r="B875" s="2" t="str">
        <f t="shared" si="23"/>
        <v xml:space="preserve">  </v>
      </c>
      <c r="C875" s="1" t="s">
        <v>614</v>
      </c>
      <c r="D875" s="1" t="s">
        <v>0</v>
      </c>
      <c r="E875" s="1" t="s">
        <v>14</v>
      </c>
      <c r="F875" s="2" t="s">
        <v>0</v>
      </c>
      <c r="G875" s="17" t="s">
        <v>1769</v>
      </c>
    </row>
    <row r="876" spans="1:7" ht="114.75" x14ac:dyDescent="0.25">
      <c r="A876" s="2" t="str">
        <f>"00081509"</f>
        <v>00081509</v>
      </c>
      <c r="B876" s="2" t="str">
        <f t="shared" si="23"/>
        <v xml:space="preserve">  </v>
      </c>
      <c r="C876" s="1" t="s">
        <v>615</v>
      </c>
      <c r="D876" s="1" t="s">
        <v>0</v>
      </c>
      <c r="E876" s="1" t="s">
        <v>14</v>
      </c>
      <c r="F876" s="2" t="s">
        <v>0</v>
      </c>
      <c r="G876" s="17" t="s">
        <v>1769</v>
      </c>
    </row>
    <row r="877" spans="1:7" ht="100.5" x14ac:dyDescent="0.25">
      <c r="A877" s="2" t="str">
        <f>"00081510"</f>
        <v>00081510</v>
      </c>
      <c r="B877" s="2" t="str">
        <f t="shared" si="23"/>
        <v xml:space="preserve">  </v>
      </c>
      <c r="C877" s="1" t="s">
        <v>616</v>
      </c>
      <c r="D877" s="1" t="s">
        <v>0</v>
      </c>
      <c r="E877" s="1" t="s">
        <v>14</v>
      </c>
      <c r="F877" s="2" t="s">
        <v>0</v>
      </c>
      <c r="G877" s="17" t="s">
        <v>1769</v>
      </c>
    </row>
    <row r="878" spans="1:7" ht="114.75" x14ac:dyDescent="0.25">
      <c r="A878" s="2" t="str">
        <f>"00081511"</f>
        <v>00081511</v>
      </c>
      <c r="B878" s="2" t="str">
        <f t="shared" si="23"/>
        <v xml:space="preserve">  </v>
      </c>
      <c r="C878" s="1" t="s">
        <v>617</v>
      </c>
      <c r="D878" s="1" t="s">
        <v>0</v>
      </c>
      <c r="E878" s="1" t="s">
        <v>14</v>
      </c>
      <c r="F878" s="2" t="s">
        <v>0</v>
      </c>
      <c r="G878" s="17" t="s">
        <v>1769</v>
      </c>
    </row>
    <row r="879" spans="1:7" ht="114.75" x14ac:dyDescent="0.25">
      <c r="A879" s="2" t="str">
        <f>"00081512"</f>
        <v>00081512</v>
      </c>
      <c r="B879" s="2" t="str">
        <f t="shared" si="23"/>
        <v xml:space="preserve">  </v>
      </c>
      <c r="C879" s="1" t="s">
        <v>618</v>
      </c>
      <c r="D879" s="1" t="s">
        <v>0</v>
      </c>
      <c r="E879" s="1" t="s">
        <v>14</v>
      </c>
      <c r="F879" s="2" t="s">
        <v>0</v>
      </c>
      <c r="G879" s="17" t="s">
        <v>1769</v>
      </c>
    </row>
    <row r="880" spans="1:7" ht="43.5" x14ac:dyDescent="0.25">
      <c r="A880" s="2" t="str">
        <f>"00081513"</f>
        <v>00081513</v>
      </c>
      <c r="B880" s="2" t="str">
        <f t="shared" si="23"/>
        <v xml:space="preserve">  </v>
      </c>
      <c r="C880" s="1" t="s">
        <v>619</v>
      </c>
      <c r="D880" s="1" t="s">
        <v>0</v>
      </c>
      <c r="E880" s="1" t="s">
        <v>12</v>
      </c>
      <c r="F880" s="2" t="s">
        <v>0</v>
      </c>
      <c r="G880" s="3">
        <v>142.63</v>
      </c>
    </row>
    <row r="881" spans="1:7" ht="43.5" x14ac:dyDescent="0.25">
      <c r="A881" s="2" t="str">
        <f>"00081513"</f>
        <v>00081513</v>
      </c>
      <c r="B881" s="2" t="str">
        <f>"90"</f>
        <v>90</v>
      </c>
      <c r="C881" s="1" t="s">
        <v>620</v>
      </c>
      <c r="D881" s="1" t="s">
        <v>0</v>
      </c>
      <c r="E881" s="1" t="s">
        <v>14</v>
      </c>
      <c r="F881" s="2" t="s">
        <v>0</v>
      </c>
      <c r="G881" s="17" t="s">
        <v>1769</v>
      </c>
    </row>
    <row r="882" spans="1:7" ht="43.5" x14ac:dyDescent="0.25">
      <c r="A882" s="2" t="str">
        <f>"00081514"</f>
        <v>00081514</v>
      </c>
      <c r="B882" s="2" t="str">
        <f>"  "</f>
        <v xml:space="preserve">  </v>
      </c>
      <c r="C882" s="1" t="s">
        <v>621</v>
      </c>
      <c r="D882" s="1" t="s">
        <v>0</v>
      </c>
      <c r="E882" s="1" t="s">
        <v>12</v>
      </c>
      <c r="F882" s="2" t="s">
        <v>0</v>
      </c>
      <c r="G882" s="3">
        <v>262.99</v>
      </c>
    </row>
    <row r="883" spans="1:7" ht="43.5" x14ac:dyDescent="0.25">
      <c r="A883" s="2" t="str">
        <f>"00081514"</f>
        <v>00081514</v>
      </c>
      <c r="B883" s="2" t="str">
        <f>"90"</f>
        <v>90</v>
      </c>
      <c r="C883" s="1" t="s">
        <v>621</v>
      </c>
      <c r="D883" s="1" t="s">
        <v>0</v>
      </c>
      <c r="E883" s="1" t="s">
        <v>14</v>
      </c>
      <c r="F883" s="2" t="s">
        <v>0</v>
      </c>
      <c r="G883" s="17" t="s">
        <v>1769</v>
      </c>
    </row>
    <row r="884" spans="1:7" ht="43.5" x14ac:dyDescent="0.25">
      <c r="A884" s="2" t="str">
        <f>"00081517"</f>
        <v>00081517</v>
      </c>
      <c r="B884" s="2" t="str">
        <f>"  "</f>
        <v xml:space="preserve">  </v>
      </c>
      <c r="C884" s="1" t="s">
        <v>622</v>
      </c>
      <c r="D884" s="1" t="s">
        <v>0</v>
      </c>
      <c r="E884" s="1" t="s">
        <v>14</v>
      </c>
      <c r="F884" s="2" t="s">
        <v>0</v>
      </c>
      <c r="G884" s="17" t="s">
        <v>1769</v>
      </c>
    </row>
    <row r="885" spans="1:7" ht="43.5" x14ac:dyDescent="0.25">
      <c r="A885" s="2" t="str">
        <f>"00081517"</f>
        <v>00081517</v>
      </c>
      <c r="B885" s="2" t="str">
        <f>"90"</f>
        <v>90</v>
      </c>
      <c r="C885" s="1" t="s">
        <v>622</v>
      </c>
      <c r="D885" s="1" t="s">
        <v>0</v>
      </c>
      <c r="E885" s="1" t="s">
        <v>14</v>
      </c>
      <c r="F885" s="2" t="s">
        <v>0</v>
      </c>
      <c r="G885" s="17" t="s">
        <v>1769</v>
      </c>
    </row>
    <row r="886" spans="1:7" ht="43.5" x14ac:dyDescent="0.25">
      <c r="A886" s="2" t="str">
        <f>"00081518"</f>
        <v>00081518</v>
      </c>
      <c r="B886" s="2" t="str">
        <f>"  "</f>
        <v xml:space="preserve">  </v>
      </c>
      <c r="C886" s="1" t="s">
        <v>623</v>
      </c>
      <c r="D886" s="1" t="s">
        <v>0</v>
      </c>
      <c r="E886" s="1" t="s">
        <v>12</v>
      </c>
      <c r="F886" s="2" t="s">
        <v>0</v>
      </c>
      <c r="G886" s="3">
        <v>3873</v>
      </c>
    </row>
    <row r="887" spans="1:7" ht="57.75" x14ac:dyDescent="0.25">
      <c r="A887" s="2" t="str">
        <f>"00081519"</f>
        <v>00081519</v>
      </c>
      <c r="B887" s="2" t="str">
        <f>"  "</f>
        <v xml:space="preserve">  </v>
      </c>
      <c r="C887" s="1" t="s">
        <v>624</v>
      </c>
      <c r="D887" s="1" t="s">
        <v>0</v>
      </c>
      <c r="E887" s="1" t="s">
        <v>625</v>
      </c>
      <c r="F887" s="2" t="s">
        <v>0</v>
      </c>
      <c r="G887" s="3">
        <v>3873</v>
      </c>
    </row>
    <row r="888" spans="1:7" ht="29.25" x14ac:dyDescent="0.25">
      <c r="A888" s="2" t="str">
        <f>"00081520"</f>
        <v>00081520</v>
      </c>
      <c r="B888" s="2" t="str">
        <f>"  "</f>
        <v xml:space="preserve">  </v>
      </c>
      <c r="C888" s="1" t="s">
        <v>626</v>
      </c>
      <c r="D888" s="1" t="s">
        <v>0</v>
      </c>
      <c r="E888" s="1" t="s">
        <v>14</v>
      </c>
      <c r="F888" s="2" t="s">
        <v>0</v>
      </c>
      <c r="G888" s="17" t="s">
        <v>1769</v>
      </c>
    </row>
    <row r="889" spans="1:7" ht="29.25" x14ac:dyDescent="0.25">
      <c r="A889" s="2" t="str">
        <f>"00081520"</f>
        <v>00081520</v>
      </c>
      <c r="B889" s="2" t="str">
        <f>"90"</f>
        <v>90</v>
      </c>
      <c r="C889" s="1" t="s">
        <v>626</v>
      </c>
      <c r="D889" s="1" t="s">
        <v>0</v>
      </c>
      <c r="E889" s="1" t="s">
        <v>14</v>
      </c>
      <c r="F889" s="2" t="s">
        <v>0</v>
      </c>
      <c r="G889" s="17" t="s">
        <v>1769</v>
      </c>
    </row>
    <row r="890" spans="1:7" ht="29.25" x14ac:dyDescent="0.25">
      <c r="A890" s="2" t="str">
        <f>"00081521"</f>
        <v>00081521</v>
      </c>
      <c r="B890" s="2" t="str">
        <f>"  "</f>
        <v xml:space="preserve">  </v>
      </c>
      <c r="C890" s="1" t="s">
        <v>626</v>
      </c>
      <c r="D890" s="1" t="s">
        <v>0</v>
      </c>
      <c r="E890" s="1" t="s">
        <v>14</v>
      </c>
      <c r="F890" s="2" t="s">
        <v>0</v>
      </c>
      <c r="G890" s="17" t="s">
        <v>1769</v>
      </c>
    </row>
    <row r="891" spans="1:7" ht="29.25" x14ac:dyDescent="0.25">
      <c r="A891" s="2" t="str">
        <f>"00081521"</f>
        <v>00081521</v>
      </c>
      <c r="B891" s="2" t="str">
        <f>"90"</f>
        <v>90</v>
      </c>
      <c r="C891" s="1" t="s">
        <v>626</v>
      </c>
      <c r="D891" s="1" t="s">
        <v>0</v>
      </c>
      <c r="E891" s="1" t="s">
        <v>14</v>
      </c>
      <c r="F891" s="2" t="s">
        <v>0</v>
      </c>
      <c r="G891" s="17" t="s">
        <v>1769</v>
      </c>
    </row>
    <row r="892" spans="1:7" ht="43.5" x14ac:dyDescent="0.25">
      <c r="A892" s="2" t="str">
        <f>"00081522"</f>
        <v>00081522</v>
      </c>
      <c r="B892" s="2" t="str">
        <f>"  "</f>
        <v xml:space="preserve">  </v>
      </c>
      <c r="C892" s="1" t="s">
        <v>627</v>
      </c>
      <c r="D892" s="1" t="s">
        <v>0</v>
      </c>
      <c r="E892" s="1" t="s">
        <v>628</v>
      </c>
      <c r="F892" s="2" t="s">
        <v>0</v>
      </c>
      <c r="G892" s="3">
        <v>3873</v>
      </c>
    </row>
    <row r="893" spans="1:7" ht="43.5" x14ac:dyDescent="0.25">
      <c r="A893" s="2" t="str">
        <f>"00081523"</f>
        <v>00081523</v>
      </c>
      <c r="B893" s="2" t="str">
        <f>"  "</f>
        <v xml:space="preserve">  </v>
      </c>
      <c r="C893" s="1" t="s">
        <v>629</v>
      </c>
      <c r="D893" s="1" t="s">
        <v>0</v>
      </c>
      <c r="E893" s="1" t="s">
        <v>14</v>
      </c>
      <c r="F893" s="2" t="s">
        <v>0</v>
      </c>
      <c r="G893" s="17" t="s">
        <v>1769</v>
      </c>
    </row>
    <row r="894" spans="1:7" ht="43.5" x14ac:dyDescent="0.25">
      <c r="A894" s="2" t="str">
        <f>"00081523"</f>
        <v>00081523</v>
      </c>
      <c r="B894" s="2" t="str">
        <f>"90"</f>
        <v>90</v>
      </c>
      <c r="C894" s="1" t="s">
        <v>629</v>
      </c>
      <c r="D894" s="1" t="s">
        <v>0</v>
      </c>
      <c r="E894" s="1" t="s">
        <v>14</v>
      </c>
      <c r="F894" s="2" t="s">
        <v>0</v>
      </c>
      <c r="G894" s="17" t="s">
        <v>1769</v>
      </c>
    </row>
    <row r="895" spans="1:7" ht="29.25" x14ac:dyDescent="0.25">
      <c r="A895" s="2" t="str">
        <f>"00081525"</f>
        <v>00081525</v>
      </c>
      <c r="B895" s="2" t="str">
        <f>"  "</f>
        <v xml:space="preserve">  </v>
      </c>
      <c r="C895" s="1" t="s">
        <v>630</v>
      </c>
      <c r="D895" s="1" t="s">
        <v>0</v>
      </c>
      <c r="E895" s="1" t="s">
        <v>14</v>
      </c>
      <c r="F895" s="2" t="s">
        <v>0</v>
      </c>
      <c r="G895" s="17" t="s">
        <v>1769</v>
      </c>
    </row>
    <row r="896" spans="1:7" ht="29.25" x14ac:dyDescent="0.25">
      <c r="A896" s="2" t="str">
        <f>"00081528"</f>
        <v>00081528</v>
      </c>
      <c r="B896" s="2" t="str">
        <f>"  "</f>
        <v xml:space="preserve">  </v>
      </c>
      <c r="C896" s="1" t="s">
        <v>631</v>
      </c>
      <c r="D896" s="1" t="s">
        <v>0</v>
      </c>
      <c r="E896" s="1" t="s">
        <v>14</v>
      </c>
      <c r="F896" s="2" t="s">
        <v>0</v>
      </c>
      <c r="G896" s="17" t="s">
        <v>1769</v>
      </c>
    </row>
    <row r="897" spans="1:7" ht="43.5" x14ac:dyDescent="0.25">
      <c r="A897" s="2" t="str">
        <f>"00081529"</f>
        <v>00081529</v>
      </c>
      <c r="B897" s="2" t="str">
        <f>"  "</f>
        <v xml:space="preserve">  </v>
      </c>
      <c r="C897" s="1" t="s">
        <v>632</v>
      </c>
      <c r="D897" s="1" t="s">
        <v>0</v>
      </c>
      <c r="E897" s="1" t="s">
        <v>14</v>
      </c>
      <c r="F897" s="2" t="s">
        <v>0</v>
      </c>
      <c r="G897" s="17" t="s">
        <v>1769</v>
      </c>
    </row>
    <row r="898" spans="1:7" ht="43.5" x14ac:dyDescent="0.25">
      <c r="A898" s="2" t="str">
        <f>"00081529"</f>
        <v>00081529</v>
      </c>
      <c r="B898" s="2" t="str">
        <f>"90"</f>
        <v>90</v>
      </c>
      <c r="C898" s="1" t="s">
        <v>632</v>
      </c>
      <c r="D898" s="1" t="s">
        <v>0</v>
      </c>
      <c r="E898" s="1" t="s">
        <v>14</v>
      </c>
      <c r="F898" s="2" t="s">
        <v>0</v>
      </c>
      <c r="G898" s="17" t="s">
        <v>1769</v>
      </c>
    </row>
    <row r="899" spans="1:7" ht="57.75" x14ac:dyDescent="0.25">
      <c r="A899" s="2" t="str">
        <f>"00081535"</f>
        <v>00081535</v>
      </c>
      <c r="B899" s="2" t="str">
        <f>"  "</f>
        <v xml:space="preserve">  </v>
      </c>
      <c r="C899" s="1" t="s">
        <v>633</v>
      </c>
      <c r="D899" s="1" t="s">
        <v>0</v>
      </c>
      <c r="E899" s="1" t="s">
        <v>14</v>
      </c>
      <c r="F899" s="2" t="s">
        <v>0</v>
      </c>
      <c r="G899" s="17" t="s">
        <v>1769</v>
      </c>
    </row>
    <row r="900" spans="1:7" ht="57.75" x14ac:dyDescent="0.25">
      <c r="A900" s="2" t="str">
        <f>"00081536"</f>
        <v>00081536</v>
      </c>
      <c r="B900" s="2" t="str">
        <f>"  "</f>
        <v xml:space="preserve">  </v>
      </c>
      <c r="C900" s="1" t="s">
        <v>633</v>
      </c>
      <c r="D900" s="1" t="s">
        <v>0</v>
      </c>
      <c r="E900" s="1" t="s">
        <v>14</v>
      </c>
      <c r="F900" s="2" t="s">
        <v>0</v>
      </c>
      <c r="G900" s="17" t="s">
        <v>1769</v>
      </c>
    </row>
    <row r="901" spans="1:7" ht="43.5" x14ac:dyDescent="0.25">
      <c r="A901" s="2" t="str">
        <f>"00081538"</f>
        <v>00081538</v>
      </c>
      <c r="B901" s="2" t="str">
        <f>"  "</f>
        <v xml:space="preserve">  </v>
      </c>
      <c r="C901" s="1" t="s">
        <v>634</v>
      </c>
      <c r="D901" s="1" t="s">
        <v>0</v>
      </c>
      <c r="E901" s="1" t="s">
        <v>14</v>
      </c>
      <c r="F901" s="2" t="s">
        <v>0</v>
      </c>
      <c r="G901" s="17" t="s">
        <v>1769</v>
      </c>
    </row>
    <row r="902" spans="1:7" ht="43.5" x14ac:dyDescent="0.25">
      <c r="A902" s="2" t="str">
        <f>"00081539"</f>
        <v>00081539</v>
      </c>
      <c r="B902" s="2" t="str">
        <f>"  "</f>
        <v xml:space="preserve">  </v>
      </c>
      <c r="C902" s="1" t="s">
        <v>635</v>
      </c>
      <c r="D902" s="1" t="s">
        <v>0</v>
      </c>
      <c r="E902" s="1" t="s">
        <v>14</v>
      </c>
      <c r="F902" s="2" t="s">
        <v>0</v>
      </c>
      <c r="G902" s="17" t="s">
        <v>1769</v>
      </c>
    </row>
    <row r="903" spans="1:7" ht="43.5" x14ac:dyDescent="0.25">
      <c r="A903" s="2" t="str">
        <f>"00081539"</f>
        <v>00081539</v>
      </c>
      <c r="B903" s="2" t="str">
        <f>"90"</f>
        <v>90</v>
      </c>
      <c r="C903" s="1" t="s">
        <v>635</v>
      </c>
      <c r="D903" s="1" t="s">
        <v>0</v>
      </c>
      <c r="E903" s="1" t="s">
        <v>14</v>
      </c>
      <c r="F903" s="2" t="s">
        <v>0</v>
      </c>
      <c r="G903" s="17" t="s">
        <v>1769</v>
      </c>
    </row>
    <row r="904" spans="1:7" x14ac:dyDescent="0.25">
      <c r="A904" s="2" t="str">
        <f>"00081540"</f>
        <v>00081540</v>
      </c>
      <c r="B904" s="2" t="str">
        <f>"  "</f>
        <v xml:space="preserve">  </v>
      </c>
      <c r="C904" s="1" t="s">
        <v>636</v>
      </c>
      <c r="D904" s="1" t="s">
        <v>0</v>
      </c>
      <c r="E904" s="1" t="s">
        <v>14</v>
      </c>
      <c r="F904" s="2" t="s">
        <v>0</v>
      </c>
      <c r="G904" s="17" t="s">
        <v>1769</v>
      </c>
    </row>
    <row r="905" spans="1:7" ht="29.25" x14ac:dyDescent="0.25">
      <c r="A905" s="2" t="str">
        <f>"00081541"</f>
        <v>00081541</v>
      </c>
      <c r="B905" s="2" t="str">
        <f>"  "</f>
        <v xml:space="preserve">  </v>
      </c>
      <c r="C905" s="1" t="s">
        <v>637</v>
      </c>
      <c r="D905" s="1" t="s">
        <v>0</v>
      </c>
      <c r="E905" s="1" t="s">
        <v>14</v>
      </c>
      <c r="F905" s="2" t="s">
        <v>0</v>
      </c>
      <c r="G905" s="17" t="s">
        <v>1769</v>
      </c>
    </row>
    <row r="906" spans="1:7" ht="29.25" x14ac:dyDescent="0.25">
      <c r="A906" s="2" t="str">
        <f>"00081541"</f>
        <v>00081541</v>
      </c>
      <c r="B906" s="2" t="str">
        <f>"90"</f>
        <v>90</v>
      </c>
      <c r="C906" s="1" t="s">
        <v>637</v>
      </c>
      <c r="D906" s="1" t="s">
        <v>0</v>
      </c>
      <c r="E906" s="1" t="s">
        <v>14</v>
      </c>
      <c r="F906" s="2" t="s">
        <v>0</v>
      </c>
      <c r="G906" s="17" t="s">
        <v>1769</v>
      </c>
    </row>
    <row r="907" spans="1:7" ht="43.5" x14ac:dyDescent="0.25">
      <c r="A907" s="2" t="str">
        <f>"00081542"</f>
        <v>00081542</v>
      </c>
      <c r="B907" s="2" t="str">
        <f>"  "</f>
        <v xml:space="preserve">  </v>
      </c>
      <c r="C907" s="1" t="s">
        <v>638</v>
      </c>
      <c r="D907" s="1" t="s">
        <v>0</v>
      </c>
      <c r="E907" s="1" t="s">
        <v>14</v>
      </c>
      <c r="F907" s="2" t="s">
        <v>0</v>
      </c>
      <c r="G907" s="17" t="s">
        <v>1769</v>
      </c>
    </row>
    <row r="908" spans="1:7" ht="43.5" x14ac:dyDescent="0.25">
      <c r="A908" s="2" t="str">
        <f>"00081546"</f>
        <v>00081546</v>
      </c>
      <c r="B908" s="2" t="str">
        <f>"  "</f>
        <v xml:space="preserve">  </v>
      </c>
      <c r="C908" s="1" t="s">
        <v>639</v>
      </c>
      <c r="D908" s="1" t="s">
        <v>0</v>
      </c>
      <c r="E908" s="1" t="s">
        <v>14</v>
      </c>
      <c r="F908" s="2" t="s">
        <v>0</v>
      </c>
      <c r="G908" s="17" t="s">
        <v>1769</v>
      </c>
    </row>
    <row r="909" spans="1:7" ht="43.5" x14ac:dyDescent="0.25">
      <c r="A909" s="2" t="str">
        <f>"00081546"</f>
        <v>00081546</v>
      </c>
      <c r="B909" s="2" t="str">
        <f>"90"</f>
        <v>90</v>
      </c>
      <c r="C909" s="1" t="s">
        <v>639</v>
      </c>
      <c r="D909" s="1" t="s">
        <v>0</v>
      </c>
      <c r="E909" s="1" t="s">
        <v>14</v>
      </c>
      <c r="F909" s="2" t="s">
        <v>0</v>
      </c>
      <c r="G909" s="17" t="s">
        <v>1769</v>
      </c>
    </row>
    <row r="910" spans="1:7" ht="29.25" x14ac:dyDescent="0.25">
      <c r="A910" s="2" t="str">
        <f>"00081551"</f>
        <v>00081551</v>
      </c>
      <c r="B910" s="2" t="str">
        <f>"  "</f>
        <v xml:space="preserve">  </v>
      </c>
      <c r="C910" s="1" t="s">
        <v>637</v>
      </c>
      <c r="D910" s="1" t="s">
        <v>0</v>
      </c>
      <c r="E910" s="1" t="s">
        <v>14</v>
      </c>
      <c r="F910" s="2" t="s">
        <v>0</v>
      </c>
      <c r="G910" s="17" t="s">
        <v>1769</v>
      </c>
    </row>
    <row r="911" spans="1:7" ht="29.25" x14ac:dyDescent="0.25">
      <c r="A911" s="2" t="str">
        <f>"00081551"</f>
        <v>00081551</v>
      </c>
      <c r="B911" s="2" t="str">
        <f>"90"</f>
        <v>90</v>
      </c>
      <c r="C911" s="1" t="s">
        <v>637</v>
      </c>
      <c r="D911" s="1" t="s">
        <v>0</v>
      </c>
      <c r="E911" s="1" t="s">
        <v>14</v>
      </c>
      <c r="F911" s="2" t="s">
        <v>0</v>
      </c>
      <c r="G911" s="17" t="s">
        <v>1769</v>
      </c>
    </row>
    <row r="912" spans="1:7" ht="57.75" x14ac:dyDescent="0.25">
      <c r="A912" s="2" t="str">
        <f>"00081552"</f>
        <v>00081552</v>
      </c>
      <c r="B912" s="2" t="str">
        <f>"  "</f>
        <v xml:space="preserve">  </v>
      </c>
      <c r="C912" s="1" t="s">
        <v>1776</v>
      </c>
      <c r="D912" s="1" t="s">
        <v>0</v>
      </c>
      <c r="E912" s="1" t="s">
        <v>14</v>
      </c>
      <c r="F912" s="2" t="s">
        <v>0</v>
      </c>
      <c r="G912" s="17" t="s">
        <v>1769</v>
      </c>
    </row>
    <row r="913" spans="1:7" ht="43.5" x14ac:dyDescent="0.25">
      <c r="A913" s="2" t="str">
        <f>"00081554"</f>
        <v>00081554</v>
      </c>
      <c r="B913" s="2" t="str">
        <f>"  "</f>
        <v xml:space="preserve">  </v>
      </c>
      <c r="C913" s="1" t="s">
        <v>640</v>
      </c>
      <c r="D913" s="1" t="s">
        <v>0</v>
      </c>
      <c r="E913" s="1" t="s">
        <v>14</v>
      </c>
      <c r="F913" s="2" t="s">
        <v>0</v>
      </c>
      <c r="G913" s="17" t="s">
        <v>1769</v>
      </c>
    </row>
    <row r="914" spans="1:7" ht="43.5" x14ac:dyDescent="0.25">
      <c r="A914" s="2" t="str">
        <f>"00081554"</f>
        <v>00081554</v>
      </c>
      <c r="B914" s="2" t="str">
        <f>"90"</f>
        <v>90</v>
      </c>
      <c r="C914" s="1" t="s">
        <v>640</v>
      </c>
      <c r="D914" s="1" t="s">
        <v>0</v>
      </c>
      <c r="E914" s="1" t="s">
        <v>14</v>
      </c>
      <c r="F914" s="2" t="s">
        <v>0</v>
      </c>
      <c r="G914" s="17" t="s">
        <v>1769</v>
      </c>
    </row>
    <row r="915" spans="1:7" ht="43.5" x14ac:dyDescent="0.25">
      <c r="A915" s="2" t="str">
        <f>"00081560"</f>
        <v>00081560</v>
      </c>
      <c r="B915" s="2" t="str">
        <f>"  "</f>
        <v xml:space="preserve">  </v>
      </c>
      <c r="C915" s="1" t="s">
        <v>641</v>
      </c>
      <c r="D915" s="1" t="s">
        <v>0</v>
      </c>
      <c r="E915" s="1" t="s">
        <v>14</v>
      </c>
      <c r="F915" s="2" t="s">
        <v>0</v>
      </c>
      <c r="G915" s="17" t="s">
        <v>1769</v>
      </c>
    </row>
    <row r="916" spans="1:7" ht="43.5" x14ac:dyDescent="0.25">
      <c r="A916" s="2" t="str">
        <f>"00081560"</f>
        <v>00081560</v>
      </c>
      <c r="B916" s="2" t="str">
        <f>"90"</f>
        <v>90</v>
      </c>
      <c r="C916" s="1" t="s">
        <v>641</v>
      </c>
      <c r="D916" s="1" t="s">
        <v>0</v>
      </c>
      <c r="E916" s="1" t="s">
        <v>14</v>
      </c>
      <c r="F916" s="2" t="s">
        <v>0</v>
      </c>
      <c r="G916" s="17" t="s">
        <v>1769</v>
      </c>
    </row>
    <row r="917" spans="1:7" ht="43.5" x14ac:dyDescent="0.25">
      <c r="A917" s="2" t="str">
        <f>"00081595"</f>
        <v>00081595</v>
      </c>
      <c r="B917" s="2" t="str">
        <f>"  "</f>
        <v xml:space="preserve">  </v>
      </c>
      <c r="C917" s="1" t="s">
        <v>642</v>
      </c>
      <c r="D917" s="1" t="s">
        <v>0</v>
      </c>
      <c r="E917" s="1" t="s">
        <v>14</v>
      </c>
      <c r="F917" s="2" t="s">
        <v>0</v>
      </c>
      <c r="G917" s="17" t="s">
        <v>1769</v>
      </c>
    </row>
    <row r="918" spans="1:7" ht="57.75" x14ac:dyDescent="0.25">
      <c r="A918" s="2" t="str">
        <f>"00081596"</f>
        <v>00081596</v>
      </c>
      <c r="B918" s="2" t="str">
        <f>"  "</f>
        <v xml:space="preserve">  </v>
      </c>
      <c r="C918" s="1" t="s">
        <v>643</v>
      </c>
      <c r="D918" s="1" t="s">
        <v>0</v>
      </c>
      <c r="E918" s="1" t="s">
        <v>12</v>
      </c>
      <c r="F918" s="2" t="s">
        <v>0</v>
      </c>
      <c r="G918" s="3">
        <v>72.19</v>
      </c>
    </row>
    <row r="919" spans="1:7" ht="43.5" x14ac:dyDescent="0.25">
      <c r="A919" s="2" t="str">
        <f>"00081599"</f>
        <v>00081599</v>
      </c>
      <c r="B919" s="2" t="str">
        <f>"  "</f>
        <v xml:space="preserve">  </v>
      </c>
      <c r="C919" s="1" t="s">
        <v>644</v>
      </c>
      <c r="D919" s="1" t="s">
        <v>0</v>
      </c>
      <c r="E919" s="1" t="s">
        <v>14</v>
      </c>
      <c r="F919" s="2" t="s">
        <v>0</v>
      </c>
      <c r="G919" s="17" t="s">
        <v>1769</v>
      </c>
    </row>
    <row r="920" spans="1:7" ht="43.5" x14ac:dyDescent="0.25">
      <c r="A920" s="2" t="str">
        <f>"00082009"</f>
        <v>00082009</v>
      </c>
      <c r="B920" s="2" t="str">
        <f>"  "</f>
        <v xml:space="preserve">  </v>
      </c>
      <c r="C920" s="1" t="s">
        <v>645</v>
      </c>
      <c r="D920" s="1" t="s">
        <v>0</v>
      </c>
      <c r="E920" s="1" t="s">
        <v>12</v>
      </c>
      <c r="F920" s="2" t="s">
        <v>0</v>
      </c>
      <c r="G920" s="3">
        <v>4.5199999999999996</v>
      </c>
    </row>
    <row r="921" spans="1:7" x14ac:dyDescent="0.25">
      <c r="A921" s="2" t="str">
        <f>"00082010"</f>
        <v>00082010</v>
      </c>
      <c r="B921" s="2" t="str">
        <f>"  "</f>
        <v xml:space="preserve">  </v>
      </c>
      <c r="C921" s="1" t="s">
        <v>646</v>
      </c>
      <c r="D921" s="1" t="s">
        <v>0</v>
      </c>
      <c r="E921" s="1" t="s">
        <v>12</v>
      </c>
      <c r="F921" s="2" t="s">
        <v>0</v>
      </c>
      <c r="G921" s="3">
        <v>8.17</v>
      </c>
    </row>
    <row r="922" spans="1:7" ht="43.5" x14ac:dyDescent="0.25">
      <c r="A922" s="2" t="str">
        <f>"00082010"</f>
        <v>00082010</v>
      </c>
      <c r="B922" s="2" t="str">
        <f>"QW"</f>
        <v>QW</v>
      </c>
      <c r="C922" s="1" t="s">
        <v>647</v>
      </c>
      <c r="D922" s="1" t="s">
        <v>0</v>
      </c>
      <c r="E922" s="1" t="s">
        <v>12</v>
      </c>
      <c r="F922" s="2" t="s">
        <v>0</v>
      </c>
      <c r="G922" s="3">
        <v>8.17</v>
      </c>
    </row>
    <row r="923" spans="1:7" x14ac:dyDescent="0.25">
      <c r="A923" s="2" t="str">
        <f>"00082013"</f>
        <v>00082013</v>
      </c>
      <c r="B923" s="2" t="str">
        <f t="shared" ref="B923:B928" si="24">"  "</f>
        <v xml:space="preserve">  </v>
      </c>
      <c r="C923" s="1" t="s">
        <v>648</v>
      </c>
      <c r="D923" s="1" t="s">
        <v>0</v>
      </c>
      <c r="E923" s="1" t="s">
        <v>12</v>
      </c>
      <c r="F923" s="2" t="s">
        <v>0</v>
      </c>
      <c r="G923" s="3">
        <v>12.29</v>
      </c>
    </row>
    <row r="924" spans="1:7" ht="43.5" x14ac:dyDescent="0.25">
      <c r="A924" s="2" t="str">
        <f>"00082016"</f>
        <v>00082016</v>
      </c>
      <c r="B924" s="2" t="str">
        <f t="shared" si="24"/>
        <v xml:space="preserve">  </v>
      </c>
      <c r="C924" s="1" t="s">
        <v>649</v>
      </c>
      <c r="D924" s="1" t="s">
        <v>0</v>
      </c>
      <c r="E924" s="1" t="s">
        <v>12</v>
      </c>
      <c r="F924" s="2" t="s">
        <v>0</v>
      </c>
      <c r="G924" s="3">
        <v>16.489999999999998</v>
      </c>
    </row>
    <row r="925" spans="1:7" ht="43.5" x14ac:dyDescent="0.25">
      <c r="A925" s="2" t="str">
        <f>"00082017"</f>
        <v>00082017</v>
      </c>
      <c r="B925" s="2" t="str">
        <f t="shared" si="24"/>
        <v xml:space="preserve">  </v>
      </c>
      <c r="C925" s="1" t="s">
        <v>650</v>
      </c>
      <c r="D925" s="1" t="s">
        <v>0</v>
      </c>
      <c r="E925" s="1" t="s">
        <v>12</v>
      </c>
      <c r="F925" s="2" t="s">
        <v>0</v>
      </c>
      <c r="G925" s="3">
        <v>16.87</v>
      </c>
    </row>
    <row r="926" spans="1:7" ht="29.25" x14ac:dyDescent="0.25">
      <c r="A926" s="2" t="str">
        <f>"00082024"</f>
        <v>00082024</v>
      </c>
      <c r="B926" s="2" t="str">
        <f t="shared" si="24"/>
        <v xml:space="preserve">  </v>
      </c>
      <c r="C926" s="1" t="s">
        <v>651</v>
      </c>
      <c r="D926" s="1" t="s">
        <v>0</v>
      </c>
      <c r="E926" s="1" t="s">
        <v>12</v>
      </c>
      <c r="F926" s="2" t="s">
        <v>0</v>
      </c>
      <c r="G926" s="3">
        <v>38.619999999999997</v>
      </c>
    </row>
    <row r="927" spans="1:7" ht="43.5" x14ac:dyDescent="0.25">
      <c r="A927" s="2" t="str">
        <f>"00082030"</f>
        <v>00082030</v>
      </c>
      <c r="B927" s="2" t="str">
        <f t="shared" si="24"/>
        <v xml:space="preserve">  </v>
      </c>
      <c r="C927" s="1" t="s">
        <v>652</v>
      </c>
      <c r="D927" s="1" t="s">
        <v>0</v>
      </c>
      <c r="E927" s="1" t="s">
        <v>12</v>
      </c>
      <c r="F927" s="2" t="s">
        <v>0</v>
      </c>
      <c r="G927" s="3">
        <v>25.8</v>
      </c>
    </row>
    <row r="928" spans="1:7" ht="29.25" x14ac:dyDescent="0.25">
      <c r="A928" s="2" t="str">
        <f>"00082040"</f>
        <v>00082040</v>
      </c>
      <c r="B928" s="2" t="str">
        <f t="shared" si="24"/>
        <v xml:space="preserve">  </v>
      </c>
      <c r="C928" s="1" t="s">
        <v>653</v>
      </c>
      <c r="D928" s="1" t="s">
        <v>0</v>
      </c>
      <c r="E928" s="1" t="s">
        <v>12</v>
      </c>
      <c r="F928" s="2" t="s">
        <v>0</v>
      </c>
      <c r="G928" s="3">
        <v>4.95</v>
      </c>
    </row>
    <row r="929" spans="1:7" ht="29.25" x14ac:dyDescent="0.25">
      <c r="A929" s="2" t="str">
        <f>"00082040"</f>
        <v>00082040</v>
      </c>
      <c r="B929" s="2" t="str">
        <f>"QW"</f>
        <v>QW</v>
      </c>
      <c r="C929" s="1" t="s">
        <v>654</v>
      </c>
      <c r="D929" s="1" t="s">
        <v>0</v>
      </c>
      <c r="E929" s="1" t="s">
        <v>12</v>
      </c>
      <c r="F929" s="2" t="s">
        <v>0</v>
      </c>
      <c r="G929" s="3">
        <v>4.95</v>
      </c>
    </row>
    <row r="930" spans="1:7" ht="43.5" x14ac:dyDescent="0.25">
      <c r="A930" s="2" t="str">
        <f>"00082042"</f>
        <v>00082042</v>
      </c>
      <c r="B930" s="2" t="str">
        <f>"  "</f>
        <v xml:space="preserve">  </v>
      </c>
      <c r="C930" s="1" t="s">
        <v>655</v>
      </c>
      <c r="D930" s="1" t="s">
        <v>0</v>
      </c>
      <c r="E930" s="1" t="s">
        <v>12</v>
      </c>
      <c r="F930" s="2" t="s">
        <v>0</v>
      </c>
      <c r="G930" s="3">
        <v>7.78</v>
      </c>
    </row>
    <row r="931" spans="1:7" ht="43.5" x14ac:dyDescent="0.25">
      <c r="A931" s="2" t="str">
        <f>"00082042"</f>
        <v>00082042</v>
      </c>
      <c r="B931" s="2" t="str">
        <f>"QW"</f>
        <v>QW</v>
      </c>
      <c r="C931" s="1" t="s">
        <v>656</v>
      </c>
      <c r="D931" s="1" t="s">
        <v>0</v>
      </c>
      <c r="E931" s="1" t="s">
        <v>12</v>
      </c>
      <c r="F931" s="2" t="s">
        <v>0</v>
      </c>
      <c r="G931" s="3">
        <v>7.78</v>
      </c>
    </row>
    <row r="932" spans="1:7" ht="29.25" x14ac:dyDescent="0.25">
      <c r="A932" s="2" t="str">
        <f>"00082043"</f>
        <v>00082043</v>
      </c>
      <c r="B932" s="2" t="str">
        <f>"  "</f>
        <v xml:space="preserve">  </v>
      </c>
      <c r="C932" s="1" t="s">
        <v>657</v>
      </c>
      <c r="D932" s="1" t="s">
        <v>0</v>
      </c>
      <c r="E932" s="1" t="s">
        <v>12</v>
      </c>
      <c r="F932" s="2" t="s">
        <v>0</v>
      </c>
      <c r="G932" s="3">
        <v>5.78</v>
      </c>
    </row>
    <row r="933" spans="1:7" ht="29.25" x14ac:dyDescent="0.25">
      <c r="A933" s="2" t="str">
        <f>"00082043"</f>
        <v>00082043</v>
      </c>
      <c r="B933" s="2" t="str">
        <f>"QW"</f>
        <v>QW</v>
      </c>
      <c r="C933" s="1" t="s">
        <v>658</v>
      </c>
      <c r="D933" s="1" t="s">
        <v>0</v>
      </c>
      <c r="E933" s="1" t="s">
        <v>12</v>
      </c>
      <c r="F933" s="2" t="s">
        <v>0</v>
      </c>
      <c r="G933" s="3">
        <v>5.78</v>
      </c>
    </row>
    <row r="934" spans="1:7" ht="43.5" x14ac:dyDescent="0.25">
      <c r="A934" s="2" t="str">
        <f>"00082044"</f>
        <v>00082044</v>
      </c>
      <c r="B934" s="2" t="str">
        <f>"  "</f>
        <v xml:space="preserve">  </v>
      </c>
      <c r="C934" s="1" t="s">
        <v>659</v>
      </c>
      <c r="D934" s="1" t="s">
        <v>0</v>
      </c>
      <c r="E934" s="1" t="s">
        <v>12</v>
      </c>
      <c r="F934" s="2" t="s">
        <v>0</v>
      </c>
      <c r="G934" s="3">
        <v>6.23</v>
      </c>
    </row>
    <row r="935" spans="1:7" ht="86.25" x14ac:dyDescent="0.25">
      <c r="A935" s="2" t="str">
        <f>"00082044"</f>
        <v>00082044</v>
      </c>
      <c r="B935" s="2" t="str">
        <f>"QW"</f>
        <v>QW</v>
      </c>
      <c r="C935" s="1" t="s">
        <v>660</v>
      </c>
      <c r="D935" s="1" t="s">
        <v>0</v>
      </c>
      <c r="E935" s="1" t="s">
        <v>12</v>
      </c>
      <c r="F935" s="2" t="s">
        <v>0</v>
      </c>
      <c r="G935" s="3">
        <v>6.23</v>
      </c>
    </row>
    <row r="936" spans="1:7" ht="29.25" x14ac:dyDescent="0.25">
      <c r="A936" s="2" t="str">
        <f>"00082045"</f>
        <v>00082045</v>
      </c>
      <c r="B936" s="2" t="str">
        <f>"  "</f>
        <v xml:space="preserve">  </v>
      </c>
      <c r="C936" s="1" t="s">
        <v>661</v>
      </c>
      <c r="D936" s="1" t="s">
        <v>0</v>
      </c>
      <c r="E936" s="1" t="s">
        <v>12</v>
      </c>
      <c r="F936" s="2" t="s">
        <v>0</v>
      </c>
      <c r="G936" s="3">
        <v>33.94</v>
      </c>
    </row>
    <row r="937" spans="1:7" ht="29.25" x14ac:dyDescent="0.25">
      <c r="A937" s="2" t="str">
        <f>"00082075"</f>
        <v>00082075</v>
      </c>
      <c r="B937" s="2" t="str">
        <f>"  "</f>
        <v xml:space="preserve">  </v>
      </c>
      <c r="C937" s="1" t="s">
        <v>662</v>
      </c>
      <c r="D937" s="1" t="s">
        <v>0</v>
      </c>
      <c r="E937" s="1" t="s">
        <v>14</v>
      </c>
      <c r="F937" s="2" t="s">
        <v>0</v>
      </c>
      <c r="G937" s="17" t="s">
        <v>1769</v>
      </c>
    </row>
    <row r="938" spans="1:7" ht="43.5" x14ac:dyDescent="0.25">
      <c r="A938" s="2" t="str">
        <f>"00082077"</f>
        <v>00082077</v>
      </c>
      <c r="B938" s="2" t="str">
        <f>"  "</f>
        <v xml:space="preserve">  </v>
      </c>
      <c r="C938" s="1" t="s">
        <v>663</v>
      </c>
      <c r="D938" s="1" t="s">
        <v>0</v>
      </c>
      <c r="E938" s="1" t="s">
        <v>14</v>
      </c>
      <c r="F938" s="2" t="s">
        <v>0</v>
      </c>
      <c r="G938" s="17" t="s">
        <v>1769</v>
      </c>
    </row>
    <row r="939" spans="1:7" ht="43.5" x14ac:dyDescent="0.25">
      <c r="A939" s="2" t="str">
        <f>"00082077"</f>
        <v>00082077</v>
      </c>
      <c r="B939" s="2" t="str">
        <f>"90"</f>
        <v>90</v>
      </c>
      <c r="C939" s="1" t="s">
        <v>663</v>
      </c>
      <c r="D939" s="1" t="s">
        <v>0</v>
      </c>
      <c r="E939" s="1" t="s">
        <v>14</v>
      </c>
      <c r="F939" s="2" t="s">
        <v>0</v>
      </c>
      <c r="G939" s="17" t="s">
        <v>1769</v>
      </c>
    </row>
    <row r="940" spans="1:7" x14ac:dyDescent="0.25">
      <c r="A940" s="2" t="str">
        <f>"00082085"</f>
        <v>00082085</v>
      </c>
      <c r="B940" s="2" t="str">
        <f t="shared" ref="B940:B948" si="25">"  "</f>
        <v xml:space="preserve">  </v>
      </c>
      <c r="C940" s="1" t="s">
        <v>664</v>
      </c>
      <c r="D940" s="1" t="s">
        <v>0</v>
      </c>
      <c r="E940" s="1" t="s">
        <v>12</v>
      </c>
      <c r="F940" s="2" t="s">
        <v>0</v>
      </c>
      <c r="G940" s="3">
        <v>9.7100000000000009</v>
      </c>
    </row>
    <row r="941" spans="1:7" x14ac:dyDescent="0.25">
      <c r="A941" s="2" t="str">
        <f>"00082088"</f>
        <v>00082088</v>
      </c>
      <c r="B941" s="2" t="str">
        <f t="shared" si="25"/>
        <v xml:space="preserve">  </v>
      </c>
      <c r="C941" s="1" t="s">
        <v>665</v>
      </c>
      <c r="D941" s="1" t="s">
        <v>0</v>
      </c>
      <c r="E941" s="1" t="s">
        <v>12</v>
      </c>
      <c r="F941" s="2" t="s">
        <v>0</v>
      </c>
      <c r="G941" s="3">
        <v>40.75</v>
      </c>
    </row>
    <row r="942" spans="1:7" ht="29.25" x14ac:dyDescent="0.25">
      <c r="A942" s="2" t="str">
        <f>"00082103"</f>
        <v>00082103</v>
      </c>
      <c r="B942" s="2" t="str">
        <f t="shared" si="25"/>
        <v xml:space="preserve">  </v>
      </c>
      <c r="C942" s="1" t="s">
        <v>666</v>
      </c>
      <c r="D942" s="1" t="s">
        <v>0</v>
      </c>
      <c r="E942" s="1" t="s">
        <v>12</v>
      </c>
      <c r="F942" s="2" t="s">
        <v>0</v>
      </c>
      <c r="G942" s="3">
        <v>13.44</v>
      </c>
    </row>
    <row r="943" spans="1:7" x14ac:dyDescent="0.25">
      <c r="A943" s="2" t="str">
        <f>"00082104"</f>
        <v>00082104</v>
      </c>
      <c r="B943" s="2" t="str">
        <f t="shared" si="25"/>
        <v xml:space="preserve">  </v>
      </c>
      <c r="C943" s="1" t="s">
        <v>667</v>
      </c>
      <c r="D943" s="1" t="s">
        <v>0</v>
      </c>
      <c r="E943" s="1" t="s">
        <v>12</v>
      </c>
      <c r="F943" s="2" t="s">
        <v>0</v>
      </c>
      <c r="G943" s="3">
        <v>14.46</v>
      </c>
    </row>
    <row r="944" spans="1:7" ht="43.5" x14ac:dyDescent="0.25">
      <c r="A944" s="2" t="str">
        <f>"00082105"</f>
        <v>00082105</v>
      </c>
      <c r="B944" s="2" t="str">
        <f t="shared" si="25"/>
        <v xml:space="preserve">  </v>
      </c>
      <c r="C944" s="1" t="s">
        <v>668</v>
      </c>
      <c r="D944" s="1" t="s">
        <v>0</v>
      </c>
      <c r="E944" s="1" t="s">
        <v>669</v>
      </c>
      <c r="F944" s="2" t="s">
        <v>0</v>
      </c>
      <c r="G944" s="3">
        <v>16.77</v>
      </c>
    </row>
    <row r="945" spans="1:7" ht="29.25" x14ac:dyDescent="0.25">
      <c r="A945" s="2" t="str">
        <f>"00082106"</f>
        <v>00082106</v>
      </c>
      <c r="B945" s="2" t="str">
        <f t="shared" si="25"/>
        <v xml:space="preserve">  </v>
      </c>
      <c r="C945" s="1" t="s">
        <v>670</v>
      </c>
      <c r="D945" s="1" t="s">
        <v>0</v>
      </c>
      <c r="E945" s="1" t="s">
        <v>671</v>
      </c>
      <c r="F945" s="2" t="s">
        <v>0</v>
      </c>
      <c r="G945" s="3">
        <v>17</v>
      </c>
    </row>
    <row r="946" spans="1:7" ht="57.75" x14ac:dyDescent="0.25">
      <c r="A946" s="2" t="str">
        <f>"00082107"</f>
        <v>00082107</v>
      </c>
      <c r="B946" s="2" t="str">
        <f t="shared" si="25"/>
        <v xml:space="preserve">  </v>
      </c>
      <c r="C946" s="1" t="s">
        <v>672</v>
      </c>
      <c r="D946" s="1" t="s">
        <v>0</v>
      </c>
      <c r="E946" s="1" t="s">
        <v>673</v>
      </c>
      <c r="F946" s="2" t="s">
        <v>0</v>
      </c>
      <c r="G946" s="3">
        <v>64.41</v>
      </c>
    </row>
    <row r="947" spans="1:7" x14ac:dyDescent="0.25">
      <c r="A947" s="2" t="str">
        <f>"00082108"</f>
        <v>00082108</v>
      </c>
      <c r="B947" s="2" t="str">
        <f t="shared" si="25"/>
        <v xml:space="preserve">  </v>
      </c>
      <c r="C947" s="1" t="s">
        <v>674</v>
      </c>
      <c r="D947" s="1" t="s">
        <v>0</v>
      </c>
      <c r="E947" s="1" t="s">
        <v>12</v>
      </c>
      <c r="F947" s="2" t="s">
        <v>0</v>
      </c>
      <c r="G947" s="3">
        <v>25.48</v>
      </c>
    </row>
    <row r="948" spans="1:7" ht="29.25" x14ac:dyDescent="0.25">
      <c r="A948" s="2" t="str">
        <f>"00082120"</f>
        <v>00082120</v>
      </c>
      <c r="B948" s="2" t="str">
        <f t="shared" si="25"/>
        <v xml:space="preserve">  </v>
      </c>
      <c r="C948" s="1" t="s">
        <v>675</v>
      </c>
      <c r="D948" s="1" t="s">
        <v>0</v>
      </c>
      <c r="E948" s="1" t="s">
        <v>12</v>
      </c>
      <c r="F948" s="2" t="s">
        <v>0</v>
      </c>
      <c r="G948" s="3">
        <v>5.99</v>
      </c>
    </row>
    <row r="949" spans="1:7" ht="29.25" x14ac:dyDescent="0.25">
      <c r="A949" s="2" t="str">
        <f>"00082120"</f>
        <v>00082120</v>
      </c>
      <c r="B949" s="2" t="str">
        <f>"QW"</f>
        <v>QW</v>
      </c>
      <c r="C949" s="1" t="s">
        <v>676</v>
      </c>
      <c r="D949" s="1" t="s">
        <v>0</v>
      </c>
      <c r="E949" s="1" t="s">
        <v>12</v>
      </c>
      <c r="F949" s="2" t="s">
        <v>0</v>
      </c>
      <c r="G949" s="3">
        <v>5.99</v>
      </c>
    </row>
    <row r="950" spans="1:7" ht="43.5" x14ac:dyDescent="0.25">
      <c r="A950" s="2" t="str">
        <f>"00082127"</f>
        <v>00082127</v>
      </c>
      <c r="B950" s="2" t="str">
        <f t="shared" ref="B950:B958" si="26">"  "</f>
        <v xml:space="preserve">  </v>
      </c>
      <c r="C950" s="1" t="s">
        <v>677</v>
      </c>
      <c r="D950" s="1" t="s">
        <v>0</v>
      </c>
      <c r="E950" s="1" t="s">
        <v>12</v>
      </c>
      <c r="F950" s="2" t="s">
        <v>0</v>
      </c>
      <c r="G950" s="3">
        <v>14.18</v>
      </c>
    </row>
    <row r="951" spans="1:7" ht="43.5" x14ac:dyDescent="0.25">
      <c r="A951" s="2" t="str">
        <f>"00082128"</f>
        <v>00082128</v>
      </c>
      <c r="B951" s="2" t="str">
        <f t="shared" si="26"/>
        <v xml:space="preserve">  </v>
      </c>
      <c r="C951" s="1" t="s">
        <v>678</v>
      </c>
      <c r="D951" s="1" t="s">
        <v>0</v>
      </c>
      <c r="E951" s="1" t="s">
        <v>12</v>
      </c>
      <c r="F951" s="2" t="s">
        <v>0</v>
      </c>
      <c r="G951" s="3">
        <v>13.87</v>
      </c>
    </row>
    <row r="952" spans="1:7" ht="29.25" x14ac:dyDescent="0.25">
      <c r="A952" s="2" t="str">
        <f>"00082131"</f>
        <v>00082131</v>
      </c>
      <c r="B952" s="2" t="str">
        <f t="shared" si="26"/>
        <v xml:space="preserve">  </v>
      </c>
      <c r="C952" s="1" t="s">
        <v>679</v>
      </c>
      <c r="D952" s="1" t="s">
        <v>0</v>
      </c>
      <c r="E952" s="1" t="s">
        <v>12</v>
      </c>
      <c r="F952" s="2" t="s">
        <v>0</v>
      </c>
      <c r="G952" s="3">
        <v>22.98</v>
      </c>
    </row>
    <row r="953" spans="1:7" ht="29.25" x14ac:dyDescent="0.25">
      <c r="A953" s="2" t="str">
        <f>"00082135"</f>
        <v>00082135</v>
      </c>
      <c r="B953" s="2" t="str">
        <f t="shared" si="26"/>
        <v xml:space="preserve">  </v>
      </c>
      <c r="C953" s="1" t="s">
        <v>680</v>
      </c>
      <c r="D953" s="1" t="s">
        <v>0</v>
      </c>
      <c r="E953" s="1" t="s">
        <v>12</v>
      </c>
      <c r="F953" s="2" t="s">
        <v>0</v>
      </c>
      <c r="G953" s="3">
        <v>16.45</v>
      </c>
    </row>
    <row r="954" spans="1:7" ht="43.5" x14ac:dyDescent="0.25">
      <c r="A954" s="2" t="str">
        <f>"00082136"</f>
        <v>00082136</v>
      </c>
      <c r="B954" s="2" t="str">
        <f t="shared" si="26"/>
        <v xml:space="preserve">  </v>
      </c>
      <c r="C954" s="1" t="s">
        <v>681</v>
      </c>
      <c r="D954" s="1" t="s">
        <v>0</v>
      </c>
      <c r="E954" s="1" t="s">
        <v>12</v>
      </c>
      <c r="F954" s="2" t="s">
        <v>0</v>
      </c>
      <c r="G954" s="3">
        <v>19.61</v>
      </c>
    </row>
    <row r="955" spans="1:7" ht="43.5" x14ac:dyDescent="0.25">
      <c r="A955" s="2" t="str">
        <f>"00082139"</f>
        <v>00082139</v>
      </c>
      <c r="B955" s="2" t="str">
        <f t="shared" si="26"/>
        <v xml:space="preserve">  </v>
      </c>
      <c r="C955" s="1" t="s">
        <v>682</v>
      </c>
      <c r="D955" s="1" t="s">
        <v>0</v>
      </c>
      <c r="E955" s="1" t="s">
        <v>12</v>
      </c>
      <c r="F955" s="2" t="s">
        <v>0</v>
      </c>
      <c r="G955" s="3">
        <v>16.87</v>
      </c>
    </row>
    <row r="956" spans="1:7" x14ac:dyDescent="0.25">
      <c r="A956" s="2" t="str">
        <f>"00082140"</f>
        <v>00082140</v>
      </c>
      <c r="B956" s="2" t="str">
        <f t="shared" si="26"/>
        <v xml:space="preserve">  </v>
      </c>
      <c r="C956" s="1" t="s">
        <v>683</v>
      </c>
      <c r="D956" s="1" t="s">
        <v>0</v>
      </c>
      <c r="E956" s="1" t="s">
        <v>12</v>
      </c>
      <c r="F956" s="2" t="s">
        <v>0</v>
      </c>
      <c r="G956" s="3">
        <v>14.57</v>
      </c>
    </row>
    <row r="957" spans="1:7" ht="29.25" x14ac:dyDescent="0.25">
      <c r="A957" s="2" t="str">
        <f>"00082143"</f>
        <v>00082143</v>
      </c>
      <c r="B957" s="2" t="str">
        <f t="shared" si="26"/>
        <v xml:space="preserve">  </v>
      </c>
      <c r="C957" s="1" t="s">
        <v>684</v>
      </c>
      <c r="D957" s="1" t="s">
        <v>0</v>
      </c>
      <c r="E957" s="1" t="s">
        <v>12</v>
      </c>
      <c r="F957" s="2" t="s">
        <v>0</v>
      </c>
      <c r="G957" s="3">
        <v>9.35</v>
      </c>
    </row>
    <row r="958" spans="1:7" x14ac:dyDescent="0.25">
      <c r="A958" s="2" t="str">
        <f>"00082150"</f>
        <v>00082150</v>
      </c>
      <c r="B958" s="2" t="str">
        <f t="shared" si="26"/>
        <v xml:space="preserve">  </v>
      </c>
      <c r="C958" s="1" t="s">
        <v>685</v>
      </c>
      <c r="D958" s="1" t="s">
        <v>0</v>
      </c>
      <c r="E958" s="1" t="s">
        <v>12</v>
      </c>
      <c r="F958" s="2" t="s">
        <v>0</v>
      </c>
      <c r="G958" s="3">
        <v>6.48</v>
      </c>
    </row>
    <row r="959" spans="1:7" x14ac:dyDescent="0.25">
      <c r="A959" s="2" t="str">
        <f>"00082150"</f>
        <v>00082150</v>
      </c>
      <c r="B959" s="2" t="str">
        <f>"QW"</f>
        <v>QW</v>
      </c>
      <c r="C959" s="1" t="s">
        <v>686</v>
      </c>
      <c r="D959" s="1" t="s">
        <v>0</v>
      </c>
      <c r="E959" s="1" t="s">
        <v>12</v>
      </c>
      <c r="F959" s="2" t="s">
        <v>0</v>
      </c>
      <c r="G959" s="3">
        <v>6.48</v>
      </c>
    </row>
    <row r="960" spans="1:7" ht="29.25" x14ac:dyDescent="0.25">
      <c r="A960" s="2" t="str">
        <f>"00082154"</f>
        <v>00082154</v>
      </c>
      <c r="B960" s="2" t="str">
        <f t="shared" ref="B960:B965" si="27">"  "</f>
        <v xml:space="preserve">  </v>
      </c>
      <c r="C960" s="1" t="s">
        <v>687</v>
      </c>
      <c r="D960" s="1" t="s">
        <v>0</v>
      </c>
      <c r="E960" s="1" t="s">
        <v>12</v>
      </c>
      <c r="F960" s="2" t="s">
        <v>0</v>
      </c>
      <c r="G960" s="3">
        <v>28.83</v>
      </c>
    </row>
    <row r="961" spans="1:7" x14ac:dyDescent="0.25">
      <c r="A961" s="2" t="str">
        <f>"00082157"</f>
        <v>00082157</v>
      </c>
      <c r="B961" s="2" t="str">
        <f t="shared" si="27"/>
        <v xml:space="preserve">  </v>
      </c>
      <c r="C961" s="1" t="s">
        <v>688</v>
      </c>
      <c r="D961" s="1" t="s">
        <v>0</v>
      </c>
      <c r="E961" s="1" t="s">
        <v>12</v>
      </c>
      <c r="F961" s="2" t="s">
        <v>0</v>
      </c>
      <c r="G961" s="3">
        <v>29.28</v>
      </c>
    </row>
    <row r="962" spans="1:7" x14ac:dyDescent="0.25">
      <c r="A962" s="2" t="str">
        <f>"00082160"</f>
        <v>00082160</v>
      </c>
      <c r="B962" s="2" t="str">
        <f t="shared" si="27"/>
        <v xml:space="preserve">  </v>
      </c>
      <c r="C962" s="1" t="s">
        <v>689</v>
      </c>
      <c r="D962" s="1" t="s">
        <v>0</v>
      </c>
      <c r="E962" s="1" t="s">
        <v>12</v>
      </c>
      <c r="F962" s="2" t="s">
        <v>0</v>
      </c>
      <c r="G962" s="3">
        <v>25.55</v>
      </c>
    </row>
    <row r="963" spans="1:7" x14ac:dyDescent="0.25">
      <c r="A963" s="2" t="str">
        <f>"00082163"</f>
        <v>00082163</v>
      </c>
      <c r="B963" s="2" t="str">
        <f t="shared" si="27"/>
        <v xml:space="preserve">  </v>
      </c>
      <c r="C963" s="1" t="s">
        <v>690</v>
      </c>
      <c r="D963" s="1" t="s">
        <v>0</v>
      </c>
      <c r="E963" s="1" t="s">
        <v>12</v>
      </c>
      <c r="F963" s="2" t="s">
        <v>0</v>
      </c>
      <c r="G963" s="3">
        <v>20.52</v>
      </c>
    </row>
    <row r="964" spans="1:7" ht="43.5" x14ac:dyDescent="0.25">
      <c r="A964" s="2" t="str">
        <f>"00082164"</f>
        <v>00082164</v>
      </c>
      <c r="B964" s="2" t="str">
        <f t="shared" si="27"/>
        <v xml:space="preserve">  </v>
      </c>
      <c r="C964" s="1" t="s">
        <v>691</v>
      </c>
      <c r="D964" s="1" t="s">
        <v>0</v>
      </c>
      <c r="E964" s="1" t="s">
        <v>12</v>
      </c>
      <c r="F964" s="2" t="s">
        <v>0</v>
      </c>
      <c r="G964" s="3">
        <v>14.6</v>
      </c>
    </row>
    <row r="965" spans="1:7" x14ac:dyDescent="0.25">
      <c r="A965" s="2" t="str">
        <f>"00082166"</f>
        <v>00082166</v>
      </c>
      <c r="B965" s="2" t="str">
        <f t="shared" si="27"/>
        <v xml:space="preserve">  </v>
      </c>
      <c r="C965" s="1" t="s">
        <v>692</v>
      </c>
      <c r="D965" s="1" t="s">
        <v>0</v>
      </c>
      <c r="E965" s="1" t="s">
        <v>14</v>
      </c>
      <c r="F965" s="2" t="s">
        <v>0</v>
      </c>
      <c r="G965" s="17" t="s">
        <v>1769</v>
      </c>
    </row>
    <row r="966" spans="1:7" x14ac:dyDescent="0.25">
      <c r="A966" s="2" t="str">
        <f>"00082166"</f>
        <v>00082166</v>
      </c>
      <c r="B966" s="2" t="str">
        <f>"90"</f>
        <v>90</v>
      </c>
      <c r="C966" s="1" t="s">
        <v>692</v>
      </c>
      <c r="D966" s="1" t="s">
        <v>0</v>
      </c>
      <c r="E966" s="1" t="s">
        <v>14</v>
      </c>
      <c r="F966" s="2" t="s">
        <v>0</v>
      </c>
      <c r="G966" s="17" t="s">
        <v>1769</v>
      </c>
    </row>
    <row r="967" spans="1:7" x14ac:dyDescent="0.25">
      <c r="A967" s="2" t="str">
        <f>"00082172"</f>
        <v>00082172</v>
      </c>
      <c r="B967" s="2" t="str">
        <f t="shared" ref="B967:B974" si="28">"  "</f>
        <v xml:space="preserve">  </v>
      </c>
      <c r="C967" s="1" t="s">
        <v>693</v>
      </c>
      <c r="D967" s="1" t="s">
        <v>0</v>
      </c>
      <c r="E967" s="1" t="s">
        <v>12</v>
      </c>
      <c r="F967" s="2" t="s">
        <v>0</v>
      </c>
      <c r="G967" s="3">
        <v>21.09</v>
      </c>
    </row>
    <row r="968" spans="1:7" x14ac:dyDescent="0.25">
      <c r="A968" s="2" t="str">
        <f>"00082175"</f>
        <v>00082175</v>
      </c>
      <c r="B968" s="2" t="str">
        <f t="shared" si="28"/>
        <v xml:space="preserve">  </v>
      </c>
      <c r="C968" s="1" t="s">
        <v>694</v>
      </c>
      <c r="D968" s="1" t="s">
        <v>0</v>
      </c>
      <c r="E968" s="1" t="s">
        <v>12</v>
      </c>
      <c r="F968" s="2" t="s">
        <v>0</v>
      </c>
      <c r="G968" s="3">
        <v>18.97</v>
      </c>
    </row>
    <row r="969" spans="1:7" x14ac:dyDescent="0.25">
      <c r="A969" s="2" t="str">
        <f>"00082180"</f>
        <v>00082180</v>
      </c>
      <c r="B969" s="2" t="str">
        <f t="shared" si="28"/>
        <v xml:space="preserve">  </v>
      </c>
      <c r="C969" s="1" t="s">
        <v>695</v>
      </c>
      <c r="D969" s="1" t="s">
        <v>0</v>
      </c>
      <c r="E969" s="1" t="s">
        <v>12</v>
      </c>
      <c r="F969" s="2" t="s">
        <v>0</v>
      </c>
      <c r="G969" s="3">
        <v>9.89</v>
      </c>
    </row>
    <row r="970" spans="1:7" ht="43.5" x14ac:dyDescent="0.25">
      <c r="A970" s="2" t="str">
        <f>"00082190"</f>
        <v>00082190</v>
      </c>
      <c r="B970" s="2" t="str">
        <f t="shared" si="28"/>
        <v xml:space="preserve">  </v>
      </c>
      <c r="C970" s="1" t="s">
        <v>696</v>
      </c>
      <c r="D970" s="1" t="s">
        <v>0</v>
      </c>
      <c r="E970" s="1" t="s">
        <v>12</v>
      </c>
      <c r="F970" s="2" t="s">
        <v>0</v>
      </c>
      <c r="G970" s="3">
        <v>15.9</v>
      </c>
    </row>
    <row r="971" spans="1:7" x14ac:dyDescent="0.25">
      <c r="A971" s="2" t="str">
        <f>"00082232"</f>
        <v>00082232</v>
      </c>
      <c r="B971" s="2" t="str">
        <f t="shared" si="28"/>
        <v xml:space="preserve">  </v>
      </c>
      <c r="C971" s="1" t="s">
        <v>697</v>
      </c>
      <c r="D971" s="1" t="s">
        <v>0</v>
      </c>
      <c r="E971" s="1" t="s">
        <v>12</v>
      </c>
      <c r="F971" s="2" t="s">
        <v>0</v>
      </c>
      <c r="G971" s="3">
        <v>16.18</v>
      </c>
    </row>
    <row r="972" spans="1:7" x14ac:dyDescent="0.25">
      <c r="A972" s="2" t="str">
        <f>"00082239"</f>
        <v>00082239</v>
      </c>
      <c r="B972" s="2" t="str">
        <f t="shared" si="28"/>
        <v xml:space="preserve">  </v>
      </c>
      <c r="C972" s="1" t="s">
        <v>698</v>
      </c>
      <c r="D972" s="1" t="s">
        <v>0</v>
      </c>
      <c r="E972" s="1" t="s">
        <v>12</v>
      </c>
      <c r="F972" s="2" t="s">
        <v>0</v>
      </c>
      <c r="G972" s="3">
        <v>17.12</v>
      </c>
    </row>
    <row r="973" spans="1:7" ht="29.25" x14ac:dyDescent="0.25">
      <c r="A973" s="2" t="str">
        <f>"00082240"</f>
        <v>00082240</v>
      </c>
      <c r="B973" s="2" t="str">
        <f t="shared" si="28"/>
        <v xml:space="preserve">  </v>
      </c>
      <c r="C973" s="1" t="s">
        <v>699</v>
      </c>
      <c r="D973" s="1" t="s">
        <v>0</v>
      </c>
      <c r="E973" s="1" t="s">
        <v>12</v>
      </c>
      <c r="F973" s="2" t="s">
        <v>0</v>
      </c>
      <c r="G973" s="3">
        <v>26.58</v>
      </c>
    </row>
    <row r="974" spans="1:7" x14ac:dyDescent="0.25">
      <c r="A974" s="2" t="str">
        <f>"00082247"</f>
        <v>00082247</v>
      </c>
      <c r="B974" s="2" t="str">
        <f t="shared" si="28"/>
        <v xml:space="preserve">  </v>
      </c>
      <c r="C974" s="1" t="s">
        <v>700</v>
      </c>
      <c r="D974" s="1" t="s">
        <v>0</v>
      </c>
      <c r="E974" s="1" t="s">
        <v>12</v>
      </c>
      <c r="F974" s="2" t="s">
        <v>0</v>
      </c>
      <c r="G974" s="3">
        <v>5.0199999999999996</v>
      </c>
    </row>
    <row r="975" spans="1:7" x14ac:dyDescent="0.25">
      <c r="A975" s="2" t="str">
        <f>"00082247"</f>
        <v>00082247</v>
      </c>
      <c r="B975" s="2" t="str">
        <f>"QW"</f>
        <v>QW</v>
      </c>
      <c r="C975" s="1" t="s">
        <v>701</v>
      </c>
      <c r="D975" s="1" t="s">
        <v>0</v>
      </c>
      <c r="E975" s="1" t="s">
        <v>12</v>
      </c>
      <c r="F975" s="2" t="s">
        <v>0</v>
      </c>
      <c r="G975" s="3">
        <v>5.0199999999999996</v>
      </c>
    </row>
    <row r="976" spans="1:7" ht="29.25" x14ac:dyDescent="0.25">
      <c r="A976" s="2" t="str">
        <f>"00082248"</f>
        <v>00082248</v>
      </c>
      <c r="B976" s="2" t="str">
        <f>"  "</f>
        <v xml:space="preserve">  </v>
      </c>
      <c r="C976" s="1" t="s">
        <v>702</v>
      </c>
      <c r="D976" s="1" t="s">
        <v>0</v>
      </c>
      <c r="E976" s="1" t="s">
        <v>12</v>
      </c>
      <c r="F976" s="2" t="s">
        <v>0</v>
      </c>
      <c r="G976" s="3">
        <v>5.0199999999999996</v>
      </c>
    </row>
    <row r="977" spans="1:7" x14ac:dyDescent="0.25">
      <c r="A977" s="2" t="str">
        <f>"00082252"</f>
        <v>00082252</v>
      </c>
      <c r="B977" s="2" t="str">
        <f>"  "</f>
        <v xml:space="preserve">  </v>
      </c>
      <c r="C977" s="1" t="s">
        <v>703</v>
      </c>
      <c r="D977" s="1" t="s">
        <v>0</v>
      </c>
      <c r="E977" s="1" t="s">
        <v>12</v>
      </c>
      <c r="F977" s="2" t="s">
        <v>0</v>
      </c>
      <c r="G977" s="3">
        <v>4.5599999999999996</v>
      </c>
    </row>
    <row r="978" spans="1:7" ht="29.25" x14ac:dyDescent="0.25">
      <c r="A978" s="2" t="str">
        <f>"00082261"</f>
        <v>00082261</v>
      </c>
      <c r="B978" s="2" t="str">
        <f>"  "</f>
        <v xml:space="preserve">  </v>
      </c>
      <c r="C978" s="1" t="s">
        <v>704</v>
      </c>
      <c r="D978" s="1" t="s">
        <v>0</v>
      </c>
      <c r="E978" s="1" t="s">
        <v>12</v>
      </c>
      <c r="F978" s="2" t="s">
        <v>0</v>
      </c>
      <c r="G978" s="3">
        <v>16.87</v>
      </c>
    </row>
    <row r="979" spans="1:7" ht="100.5" x14ac:dyDescent="0.25">
      <c r="A979" s="2" t="str">
        <f>"00082270"</f>
        <v>00082270</v>
      </c>
      <c r="B979" s="2" t="str">
        <f>"  "</f>
        <v xml:space="preserve">  </v>
      </c>
      <c r="C979" s="1" t="s">
        <v>705</v>
      </c>
      <c r="D979" s="1" t="s">
        <v>0</v>
      </c>
      <c r="E979" s="1" t="s">
        <v>12</v>
      </c>
      <c r="F979" s="2" t="s">
        <v>0</v>
      </c>
      <c r="G979" s="3">
        <v>4.38</v>
      </c>
    </row>
    <row r="980" spans="1:7" ht="57.75" x14ac:dyDescent="0.25">
      <c r="A980" s="2" t="str">
        <f>"00082271"</f>
        <v>00082271</v>
      </c>
      <c r="B980" s="2" t="str">
        <f>"  "</f>
        <v xml:space="preserve">  </v>
      </c>
      <c r="C980" s="1" t="s">
        <v>706</v>
      </c>
      <c r="D980" s="1" t="s">
        <v>0</v>
      </c>
      <c r="E980" s="1" t="s">
        <v>12</v>
      </c>
      <c r="F980" s="2" t="s">
        <v>0</v>
      </c>
      <c r="G980" s="3">
        <v>5.32</v>
      </c>
    </row>
    <row r="981" spans="1:7" ht="57.75" x14ac:dyDescent="0.25">
      <c r="A981" s="2" t="str">
        <f>"00082271"</f>
        <v>00082271</v>
      </c>
      <c r="B981" s="2" t="str">
        <f>"QW"</f>
        <v>QW</v>
      </c>
      <c r="C981" s="1" t="s">
        <v>706</v>
      </c>
      <c r="D981" s="1" t="s">
        <v>0</v>
      </c>
      <c r="E981" s="1" t="s">
        <v>12</v>
      </c>
      <c r="F981" s="2" t="s">
        <v>0</v>
      </c>
      <c r="G981" s="3">
        <v>5.32</v>
      </c>
    </row>
    <row r="982" spans="1:7" ht="100.5" x14ac:dyDescent="0.25">
      <c r="A982" s="2" t="str">
        <f>"00082272"</f>
        <v>00082272</v>
      </c>
      <c r="B982" s="2" t="str">
        <f>"  "</f>
        <v xml:space="preserve">  </v>
      </c>
      <c r="C982" s="1" t="s">
        <v>707</v>
      </c>
      <c r="D982" s="1" t="s">
        <v>0</v>
      </c>
      <c r="E982" s="1" t="s">
        <v>12</v>
      </c>
      <c r="F982" s="2" t="s">
        <v>0</v>
      </c>
      <c r="G982" s="3">
        <v>4.2300000000000004</v>
      </c>
    </row>
    <row r="983" spans="1:7" ht="100.5" x14ac:dyDescent="0.25">
      <c r="A983" s="2" t="str">
        <f>"00082272"</f>
        <v>00082272</v>
      </c>
      <c r="B983" s="2" t="str">
        <f>"QW"</f>
        <v>QW</v>
      </c>
      <c r="C983" s="1" t="s">
        <v>707</v>
      </c>
      <c r="D983" s="1" t="s">
        <v>0</v>
      </c>
      <c r="E983" s="1" t="s">
        <v>12</v>
      </c>
      <c r="F983" s="2" t="s">
        <v>0</v>
      </c>
      <c r="G983" s="3">
        <v>3.71</v>
      </c>
    </row>
    <row r="984" spans="1:7" ht="100.5" x14ac:dyDescent="0.25">
      <c r="A984" s="2" t="str">
        <f>"00082274"</f>
        <v>00082274</v>
      </c>
      <c r="B984" s="2" t="str">
        <f>"  "</f>
        <v xml:space="preserve">  </v>
      </c>
      <c r="C984" s="1" t="s">
        <v>708</v>
      </c>
      <c r="D984" s="1" t="s">
        <v>0</v>
      </c>
      <c r="E984" s="1" t="s">
        <v>12</v>
      </c>
      <c r="F984" s="2" t="s">
        <v>0</v>
      </c>
      <c r="G984" s="3">
        <v>15.92</v>
      </c>
    </row>
    <row r="985" spans="1:7" ht="100.5" x14ac:dyDescent="0.25">
      <c r="A985" s="2" t="str">
        <f>"00082274"</f>
        <v>00082274</v>
      </c>
      <c r="B985" s="2" t="str">
        <f>"QW"</f>
        <v>QW</v>
      </c>
      <c r="C985" s="1" t="s">
        <v>708</v>
      </c>
      <c r="D985" s="1" t="s">
        <v>0</v>
      </c>
      <c r="E985" s="1" t="s">
        <v>12</v>
      </c>
      <c r="F985" s="2" t="s">
        <v>0</v>
      </c>
      <c r="G985" s="3">
        <v>15.92</v>
      </c>
    </row>
    <row r="986" spans="1:7" x14ac:dyDescent="0.25">
      <c r="A986" s="2" t="str">
        <f>"00082286"</f>
        <v>00082286</v>
      </c>
      <c r="B986" s="2" t="str">
        <f>"  "</f>
        <v xml:space="preserve">  </v>
      </c>
      <c r="C986" s="1" t="s">
        <v>709</v>
      </c>
      <c r="D986" s="1" t="s">
        <v>0</v>
      </c>
      <c r="E986" s="1" t="s">
        <v>12</v>
      </c>
      <c r="F986" s="2" t="s">
        <v>0</v>
      </c>
      <c r="G986" s="3">
        <v>5.16</v>
      </c>
    </row>
    <row r="987" spans="1:7" x14ac:dyDescent="0.25">
      <c r="A987" s="2" t="str">
        <f>"00082300"</f>
        <v>00082300</v>
      </c>
      <c r="B987" s="2" t="str">
        <f>"  "</f>
        <v xml:space="preserve">  </v>
      </c>
      <c r="C987" s="1" t="s">
        <v>710</v>
      </c>
      <c r="D987" s="1" t="s">
        <v>0</v>
      </c>
      <c r="E987" s="1" t="s">
        <v>12</v>
      </c>
      <c r="F987" s="2" t="s">
        <v>0</v>
      </c>
      <c r="G987" s="3">
        <v>23.64</v>
      </c>
    </row>
    <row r="988" spans="1:7" ht="43.5" x14ac:dyDescent="0.25">
      <c r="A988" s="2" t="str">
        <f>"00082306"</f>
        <v>00082306</v>
      </c>
      <c r="B988" s="2" t="str">
        <f>"  "</f>
        <v xml:space="preserve">  </v>
      </c>
      <c r="C988" s="1" t="s">
        <v>711</v>
      </c>
      <c r="D988" s="1" t="s">
        <v>0</v>
      </c>
      <c r="E988" s="1" t="s">
        <v>12</v>
      </c>
      <c r="F988" s="2" t="s">
        <v>0</v>
      </c>
      <c r="G988" s="3">
        <v>29.6</v>
      </c>
    </row>
    <row r="989" spans="1:7" x14ac:dyDescent="0.25">
      <c r="A989" s="2" t="str">
        <f>"00082308"</f>
        <v>00082308</v>
      </c>
      <c r="B989" s="2" t="str">
        <f>"  "</f>
        <v xml:space="preserve">  </v>
      </c>
      <c r="C989" s="1" t="s">
        <v>712</v>
      </c>
      <c r="D989" s="1" t="s">
        <v>0</v>
      </c>
      <c r="E989" s="1" t="s">
        <v>12</v>
      </c>
      <c r="F989" s="2" t="s">
        <v>0</v>
      </c>
      <c r="G989" s="3">
        <v>26.79</v>
      </c>
    </row>
    <row r="990" spans="1:7" ht="29.25" x14ac:dyDescent="0.25">
      <c r="A990" s="2" t="str">
        <f>"00082310"</f>
        <v>00082310</v>
      </c>
      <c r="B990" s="2" t="str">
        <f>"  "</f>
        <v xml:space="preserve">  </v>
      </c>
      <c r="C990" s="1" t="s">
        <v>713</v>
      </c>
      <c r="D990" s="1" t="s">
        <v>0</v>
      </c>
      <c r="E990" s="1" t="s">
        <v>12</v>
      </c>
      <c r="F990" s="2" t="s">
        <v>0</v>
      </c>
      <c r="G990" s="3">
        <v>5.16</v>
      </c>
    </row>
    <row r="991" spans="1:7" ht="29.25" x14ac:dyDescent="0.25">
      <c r="A991" s="2" t="str">
        <f>"00082310"</f>
        <v>00082310</v>
      </c>
      <c r="B991" s="2" t="str">
        <f>"QW"</f>
        <v>QW</v>
      </c>
      <c r="C991" s="1" t="s">
        <v>714</v>
      </c>
      <c r="D991" s="1" t="s">
        <v>0</v>
      </c>
      <c r="E991" s="1" t="s">
        <v>12</v>
      </c>
      <c r="F991" s="2" t="s">
        <v>0</v>
      </c>
      <c r="G991" s="3">
        <v>5.16</v>
      </c>
    </row>
    <row r="992" spans="1:7" x14ac:dyDescent="0.25">
      <c r="A992" s="2" t="str">
        <f>"00082330"</f>
        <v>00082330</v>
      </c>
      <c r="B992" s="2" t="str">
        <f>"  "</f>
        <v xml:space="preserve">  </v>
      </c>
      <c r="C992" s="1" t="s">
        <v>715</v>
      </c>
      <c r="D992" s="1" t="s">
        <v>0</v>
      </c>
      <c r="E992" s="1" t="s">
        <v>12</v>
      </c>
      <c r="F992" s="2" t="s">
        <v>0</v>
      </c>
      <c r="G992" s="3">
        <v>13.68</v>
      </c>
    </row>
    <row r="993" spans="1:7" x14ac:dyDescent="0.25">
      <c r="A993" s="2" t="str">
        <f>"00082330"</f>
        <v>00082330</v>
      </c>
      <c r="B993" s="2" t="str">
        <f>"QW"</f>
        <v>QW</v>
      </c>
      <c r="C993" s="1" t="s">
        <v>716</v>
      </c>
      <c r="D993" s="1" t="s">
        <v>0</v>
      </c>
      <c r="E993" s="1" t="s">
        <v>12</v>
      </c>
      <c r="F993" s="2" t="s">
        <v>0</v>
      </c>
      <c r="G993" s="3">
        <v>13.68</v>
      </c>
    </row>
    <row r="994" spans="1:7" ht="29.25" x14ac:dyDescent="0.25">
      <c r="A994" s="2" t="str">
        <f>"00082331"</f>
        <v>00082331</v>
      </c>
      <c r="B994" s="2" t="str">
        <f t="shared" ref="B994:B1001" si="29">"  "</f>
        <v xml:space="preserve">  </v>
      </c>
      <c r="C994" s="1" t="s">
        <v>717</v>
      </c>
      <c r="D994" s="1" t="s">
        <v>0</v>
      </c>
      <c r="E994" s="1" t="s">
        <v>12</v>
      </c>
      <c r="F994" s="2" t="s">
        <v>0</v>
      </c>
      <c r="G994" s="3">
        <v>13.34</v>
      </c>
    </row>
    <row r="995" spans="1:7" ht="29.25" x14ac:dyDescent="0.25">
      <c r="A995" s="2" t="str">
        <f>"00082340"</f>
        <v>00082340</v>
      </c>
      <c r="B995" s="2" t="str">
        <f t="shared" si="29"/>
        <v xml:space="preserve">  </v>
      </c>
      <c r="C995" s="1" t="s">
        <v>718</v>
      </c>
      <c r="D995" s="1" t="s">
        <v>0</v>
      </c>
      <c r="E995" s="1" t="s">
        <v>12</v>
      </c>
      <c r="F995" s="2" t="s">
        <v>0</v>
      </c>
      <c r="G995" s="3">
        <v>6.03</v>
      </c>
    </row>
    <row r="996" spans="1:7" ht="29.25" x14ac:dyDescent="0.25">
      <c r="A996" s="2" t="str">
        <f>"00082355"</f>
        <v>00082355</v>
      </c>
      <c r="B996" s="2" t="str">
        <f t="shared" si="29"/>
        <v xml:space="preserve">  </v>
      </c>
      <c r="C996" s="1" t="s">
        <v>719</v>
      </c>
      <c r="D996" s="1" t="s">
        <v>0</v>
      </c>
      <c r="E996" s="1" t="s">
        <v>12</v>
      </c>
      <c r="F996" s="2" t="s">
        <v>0</v>
      </c>
      <c r="G996" s="3">
        <v>11.58</v>
      </c>
    </row>
    <row r="997" spans="1:7" ht="43.5" x14ac:dyDescent="0.25">
      <c r="A997" s="2" t="str">
        <f>"00082360"</f>
        <v>00082360</v>
      </c>
      <c r="B997" s="2" t="str">
        <f t="shared" si="29"/>
        <v xml:space="preserve">  </v>
      </c>
      <c r="C997" s="1" t="s">
        <v>720</v>
      </c>
      <c r="D997" s="1" t="s">
        <v>0</v>
      </c>
      <c r="E997" s="1" t="s">
        <v>12</v>
      </c>
      <c r="F997" s="2" t="s">
        <v>0</v>
      </c>
      <c r="G997" s="3">
        <v>12.87</v>
      </c>
    </row>
    <row r="998" spans="1:7" x14ac:dyDescent="0.25">
      <c r="A998" s="2" t="str">
        <f>"00082365"</f>
        <v>00082365</v>
      </c>
      <c r="B998" s="2" t="str">
        <f t="shared" si="29"/>
        <v xml:space="preserve">  </v>
      </c>
      <c r="C998" s="1" t="s">
        <v>721</v>
      </c>
      <c r="D998" s="1" t="s">
        <v>0</v>
      </c>
      <c r="E998" s="1" t="s">
        <v>12</v>
      </c>
      <c r="F998" s="2" t="s">
        <v>0</v>
      </c>
      <c r="G998" s="3">
        <v>12.9</v>
      </c>
    </row>
    <row r="999" spans="1:7" x14ac:dyDescent="0.25">
      <c r="A999" s="2" t="str">
        <f>"00082370"</f>
        <v>00082370</v>
      </c>
      <c r="B999" s="2" t="str">
        <f t="shared" si="29"/>
        <v xml:space="preserve">  </v>
      </c>
      <c r="C999" s="1" t="s">
        <v>722</v>
      </c>
      <c r="D999" s="1" t="s">
        <v>0</v>
      </c>
      <c r="E999" s="1" t="s">
        <v>12</v>
      </c>
      <c r="F999" s="2" t="s">
        <v>0</v>
      </c>
      <c r="G999" s="3">
        <v>12.52</v>
      </c>
    </row>
    <row r="1000" spans="1:7" ht="29.25" x14ac:dyDescent="0.25">
      <c r="A1000" s="2" t="str">
        <f>"00082373"</f>
        <v>00082373</v>
      </c>
      <c r="B1000" s="2" t="str">
        <f t="shared" si="29"/>
        <v xml:space="preserve">  </v>
      </c>
      <c r="C1000" s="1" t="s">
        <v>723</v>
      </c>
      <c r="D1000" s="1" t="s">
        <v>0</v>
      </c>
      <c r="E1000" s="1" t="s">
        <v>12</v>
      </c>
      <c r="F1000" s="2" t="s">
        <v>0</v>
      </c>
      <c r="G1000" s="3">
        <v>18.059999999999999</v>
      </c>
    </row>
    <row r="1001" spans="1:7" ht="29.25" x14ac:dyDescent="0.25">
      <c r="A1001" s="2" t="str">
        <f>"00082374"</f>
        <v>00082374</v>
      </c>
      <c r="B1001" s="2" t="str">
        <f t="shared" si="29"/>
        <v xml:space="preserve">  </v>
      </c>
      <c r="C1001" s="1" t="s">
        <v>724</v>
      </c>
      <c r="D1001" s="1" t="s">
        <v>0</v>
      </c>
      <c r="E1001" s="1" t="s">
        <v>12</v>
      </c>
      <c r="F1001" s="2" t="s">
        <v>0</v>
      </c>
      <c r="G1001" s="3">
        <v>4.88</v>
      </c>
    </row>
    <row r="1002" spans="1:7" ht="29.25" x14ac:dyDescent="0.25">
      <c r="A1002" s="2" t="str">
        <f>"00082374"</f>
        <v>00082374</v>
      </c>
      <c r="B1002" s="2" t="str">
        <f>"QW"</f>
        <v>QW</v>
      </c>
      <c r="C1002" s="1" t="s">
        <v>725</v>
      </c>
      <c r="D1002" s="1" t="s">
        <v>0</v>
      </c>
      <c r="E1002" s="1" t="s">
        <v>12</v>
      </c>
      <c r="F1002" s="2" t="s">
        <v>0</v>
      </c>
      <c r="G1002" s="3">
        <v>4.88</v>
      </c>
    </row>
    <row r="1003" spans="1:7" ht="29.25" x14ac:dyDescent="0.25">
      <c r="A1003" s="2" t="str">
        <f>"00082375"</f>
        <v>00082375</v>
      </c>
      <c r="B1003" s="2" t="str">
        <f t="shared" ref="B1003:B1015" si="30">"  "</f>
        <v xml:space="preserve">  </v>
      </c>
      <c r="C1003" s="1" t="s">
        <v>726</v>
      </c>
      <c r="D1003" s="1" t="s">
        <v>0</v>
      </c>
      <c r="E1003" s="1" t="s">
        <v>12</v>
      </c>
      <c r="F1003" s="2" t="s">
        <v>0</v>
      </c>
      <c r="G1003" s="3">
        <v>12.32</v>
      </c>
    </row>
    <row r="1004" spans="1:7" ht="29.25" x14ac:dyDescent="0.25">
      <c r="A1004" s="2" t="str">
        <f>"00082376"</f>
        <v>00082376</v>
      </c>
      <c r="B1004" s="2" t="str">
        <f t="shared" si="30"/>
        <v xml:space="preserve">  </v>
      </c>
      <c r="C1004" s="1" t="s">
        <v>727</v>
      </c>
      <c r="D1004" s="1" t="s">
        <v>0</v>
      </c>
      <c r="E1004" s="1" t="s">
        <v>12</v>
      </c>
      <c r="F1004" s="2" t="s">
        <v>0</v>
      </c>
      <c r="G1004" s="3">
        <v>14.07</v>
      </c>
    </row>
    <row r="1005" spans="1:7" ht="29.25" x14ac:dyDescent="0.25">
      <c r="A1005" s="2" t="str">
        <f>"00082378"</f>
        <v>00082378</v>
      </c>
      <c r="B1005" s="2" t="str">
        <f t="shared" si="30"/>
        <v xml:space="preserve">  </v>
      </c>
      <c r="C1005" s="1" t="s">
        <v>728</v>
      </c>
      <c r="D1005" s="1" t="s">
        <v>0</v>
      </c>
      <c r="E1005" s="1" t="s">
        <v>12</v>
      </c>
      <c r="F1005" s="2" t="s">
        <v>0</v>
      </c>
      <c r="G1005" s="3">
        <v>18.96</v>
      </c>
    </row>
    <row r="1006" spans="1:7" ht="43.5" x14ac:dyDescent="0.25">
      <c r="A1006" s="2" t="str">
        <f>"00082379"</f>
        <v>00082379</v>
      </c>
      <c r="B1006" s="2" t="str">
        <f t="shared" si="30"/>
        <v xml:space="preserve">  </v>
      </c>
      <c r="C1006" s="1" t="s">
        <v>729</v>
      </c>
      <c r="D1006" s="1" t="s">
        <v>0</v>
      </c>
      <c r="E1006" s="1" t="s">
        <v>12</v>
      </c>
      <c r="F1006" s="2" t="s">
        <v>0</v>
      </c>
      <c r="G1006" s="3">
        <v>16.87</v>
      </c>
    </row>
    <row r="1007" spans="1:7" x14ac:dyDescent="0.25">
      <c r="A1007" s="2" t="str">
        <f>"00082380"</f>
        <v>00082380</v>
      </c>
      <c r="B1007" s="2" t="str">
        <f t="shared" si="30"/>
        <v xml:space="preserve">  </v>
      </c>
      <c r="C1007" s="1" t="s">
        <v>730</v>
      </c>
      <c r="D1007" s="1" t="s">
        <v>0</v>
      </c>
      <c r="E1007" s="1" t="s">
        <v>12</v>
      </c>
      <c r="F1007" s="2" t="s">
        <v>0</v>
      </c>
      <c r="G1007" s="3">
        <v>9.2200000000000006</v>
      </c>
    </row>
    <row r="1008" spans="1:7" ht="29.25" x14ac:dyDescent="0.25">
      <c r="A1008" s="2" t="str">
        <f>"00082382"</f>
        <v>00082382</v>
      </c>
      <c r="B1008" s="2" t="str">
        <f t="shared" si="30"/>
        <v xml:space="preserve">  </v>
      </c>
      <c r="C1008" s="1" t="s">
        <v>731</v>
      </c>
      <c r="D1008" s="1" t="s">
        <v>0</v>
      </c>
      <c r="E1008" s="1" t="s">
        <v>12</v>
      </c>
      <c r="F1008" s="2" t="s">
        <v>0</v>
      </c>
      <c r="G1008" s="3">
        <v>27.3</v>
      </c>
    </row>
    <row r="1009" spans="1:7" x14ac:dyDescent="0.25">
      <c r="A1009" s="2" t="str">
        <f>"00082383"</f>
        <v>00082383</v>
      </c>
      <c r="B1009" s="2" t="str">
        <f t="shared" si="30"/>
        <v xml:space="preserve">  </v>
      </c>
      <c r="C1009" s="1" t="s">
        <v>732</v>
      </c>
      <c r="D1009" s="1" t="s">
        <v>0</v>
      </c>
      <c r="E1009" s="1" t="s">
        <v>12</v>
      </c>
      <c r="F1009" s="2" t="s">
        <v>0</v>
      </c>
      <c r="G1009" s="3">
        <v>29.08</v>
      </c>
    </row>
    <row r="1010" spans="1:7" x14ac:dyDescent="0.25">
      <c r="A1010" s="2" t="str">
        <f>"00082384"</f>
        <v>00082384</v>
      </c>
      <c r="B1010" s="2" t="str">
        <f t="shared" si="30"/>
        <v xml:space="preserve">  </v>
      </c>
      <c r="C1010" s="1" t="s">
        <v>733</v>
      </c>
      <c r="D1010" s="1" t="s">
        <v>0</v>
      </c>
      <c r="E1010" s="1" t="s">
        <v>12</v>
      </c>
      <c r="F1010" s="2" t="s">
        <v>0</v>
      </c>
      <c r="G1010" s="3">
        <v>25.25</v>
      </c>
    </row>
    <row r="1011" spans="1:7" x14ac:dyDescent="0.25">
      <c r="A1011" s="2" t="str">
        <f>"00082387"</f>
        <v>00082387</v>
      </c>
      <c r="B1011" s="2" t="str">
        <f t="shared" si="30"/>
        <v xml:space="preserve">  </v>
      </c>
      <c r="C1011" s="1" t="s">
        <v>734</v>
      </c>
      <c r="D1011" s="1" t="s">
        <v>0</v>
      </c>
      <c r="E1011" s="1" t="s">
        <v>12</v>
      </c>
      <c r="F1011" s="2" t="s">
        <v>0</v>
      </c>
      <c r="G1011" s="3">
        <v>18.059999999999999</v>
      </c>
    </row>
    <row r="1012" spans="1:7" x14ac:dyDescent="0.25">
      <c r="A1012" s="2" t="str">
        <f>"00082390"</f>
        <v>00082390</v>
      </c>
      <c r="B1012" s="2" t="str">
        <f t="shared" si="30"/>
        <v xml:space="preserve">  </v>
      </c>
      <c r="C1012" s="1" t="s">
        <v>735</v>
      </c>
      <c r="D1012" s="1" t="s">
        <v>0</v>
      </c>
      <c r="E1012" s="1" t="s">
        <v>12</v>
      </c>
      <c r="F1012" s="2" t="s">
        <v>0</v>
      </c>
      <c r="G1012" s="3">
        <v>10.74</v>
      </c>
    </row>
    <row r="1013" spans="1:7" x14ac:dyDescent="0.25">
      <c r="A1013" s="2" t="str">
        <f>"00082397"</f>
        <v>00082397</v>
      </c>
      <c r="B1013" s="2" t="str">
        <f t="shared" si="30"/>
        <v xml:space="preserve">  </v>
      </c>
      <c r="C1013" s="1" t="s">
        <v>736</v>
      </c>
      <c r="D1013" s="1" t="s">
        <v>0</v>
      </c>
      <c r="E1013" s="1" t="s">
        <v>12</v>
      </c>
      <c r="F1013" s="2" t="s">
        <v>0</v>
      </c>
      <c r="G1013" s="3">
        <v>14.12</v>
      </c>
    </row>
    <row r="1014" spans="1:7" x14ac:dyDescent="0.25">
      <c r="A1014" s="2" t="str">
        <f>"00082415"</f>
        <v>00082415</v>
      </c>
      <c r="B1014" s="2" t="str">
        <f t="shared" si="30"/>
        <v xml:space="preserve">  </v>
      </c>
      <c r="C1014" s="1" t="s">
        <v>737</v>
      </c>
      <c r="D1014" s="1" t="s">
        <v>0</v>
      </c>
      <c r="E1014" s="1" t="s">
        <v>12</v>
      </c>
      <c r="F1014" s="2" t="s">
        <v>0</v>
      </c>
      <c r="G1014" s="3">
        <v>12.67</v>
      </c>
    </row>
    <row r="1015" spans="1:7" x14ac:dyDescent="0.25">
      <c r="A1015" s="2" t="str">
        <f>"00082435"</f>
        <v>00082435</v>
      </c>
      <c r="B1015" s="2" t="str">
        <f t="shared" si="30"/>
        <v xml:space="preserve">  </v>
      </c>
      <c r="C1015" s="1" t="s">
        <v>738</v>
      </c>
      <c r="D1015" s="1" t="s">
        <v>0</v>
      </c>
      <c r="E1015" s="1" t="s">
        <v>12</v>
      </c>
      <c r="F1015" s="2" t="s">
        <v>0</v>
      </c>
      <c r="G1015" s="3">
        <v>4.5999999999999996</v>
      </c>
    </row>
    <row r="1016" spans="1:7" x14ac:dyDescent="0.25">
      <c r="A1016" s="2" t="str">
        <f>"00082435"</f>
        <v>00082435</v>
      </c>
      <c r="B1016" s="2" t="str">
        <f>"QW"</f>
        <v>QW</v>
      </c>
      <c r="C1016" s="1" t="s">
        <v>739</v>
      </c>
      <c r="D1016" s="1" t="s">
        <v>0</v>
      </c>
      <c r="E1016" s="1" t="s">
        <v>12</v>
      </c>
      <c r="F1016" s="2" t="s">
        <v>0</v>
      </c>
      <c r="G1016" s="3">
        <v>4.5999999999999996</v>
      </c>
    </row>
    <row r="1017" spans="1:7" ht="43.5" x14ac:dyDescent="0.25">
      <c r="A1017" s="2" t="str">
        <f>"00082436"</f>
        <v>00082436</v>
      </c>
      <c r="B1017" s="2" t="str">
        <f>"  "</f>
        <v xml:space="preserve">  </v>
      </c>
      <c r="C1017" s="1" t="s">
        <v>740</v>
      </c>
      <c r="D1017" s="1" t="s">
        <v>0</v>
      </c>
      <c r="E1017" s="1" t="s">
        <v>12</v>
      </c>
      <c r="F1017" s="2" t="s">
        <v>0</v>
      </c>
      <c r="G1017" s="3">
        <v>5.75</v>
      </c>
    </row>
    <row r="1018" spans="1:7" x14ac:dyDescent="0.25">
      <c r="A1018" s="2" t="str">
        <f>"00082438"</f>
        <v>00082438</v>
      </c>
      <c r="B1018" s="2" t="str">
        <f>"  "</f>
        <v xml:space="preserve">  </v>
      </c>
      <c r="C1018" s="1" t="s">
        <v>741</v>
      </c>
      <c r="D1018" s="1" t="s">
        <v>0</v>
      </c>
      <c r="E1018" s="1" t="s">
        <v>12</v>
      </c>
      <c r="F1018" s="2" t="s">
        <v>0</v>
      </c>
      <c r="G1018" s="3">
        <v>5</v>
      </c>
    </row>
    <row r="1019" spans="1:7" ht="29.25" x14ac:dyDescent="0.25">
      <c r="A1019" s="2" t="str">
        <f>"00082441"</f>
        <v>00082441</v>
      </c>
      <c r="B1019" s="2" t="str">
        <f>"  "</f>
        <v xml:space="preserve">  </v>
      </c>
      <c r="C1019" s="1" t="s">
        <v>742</v>
      </c>
      <c r="D1019" s="1" t="s">
        <v>0</v>
      </c>
      <c r="E1019" s="1" t="s">
        <v>12</v>
      </c>
      <c r="F1019" s="2" t="s">
        <v>0</v>
      </c>
      <c r="G1019" s="3">
        <v>6.01</v>
      </c>
    </row>
    <row r="1020" spans="1:7" ht="29.25" x14ac:dyDescent="0.25">
      <c r="A1020" s="2" t="str">
        <f>"00082465"</f>
        <v>00082465</v>
      </c>
      <c r="B1020" s="2" t="str">
        <f>"  "</f>
        <v xml:space="preserve">  </v>
      </c>
      <c r="C1020" s="1" t="s">
        <v>743</v>
      </c>
      <c r="D1020" s="1" t="s">
        <v>0</v>
      </c>
      <c r="E1020" s="1" t="s">
        <v>12</v>
      </c>
      <c r="F1020" s="2" t="s">
        <v>0</v>
      </c>
      <c r="G1020" s="3">
        <v>4.3499999999999996</v>
      </c>
    </row>
    <row r="1021" spans="1:7" ht="29.25" x14ac:dyDescent="0.25">
      <c r="A1021" s="2" t="str">
        <f>"00082465"</f>
        <v>00082465</v>
      </c>
      <c r="B1021" s="2" t="str">
        <f>"QW"</f>
        <v>QW</v>
      </c>
      <c r="C1021" s="1" t="s">
        <v>743</v>
      </c>
      <c r="D1021" s="1" t="s">
        <v>0</v>
      </c>
      <c r="E1021" s="1" t="s">
        <v>12</v>
      </c>
      <c r="F1021" s="2" t="s">
        <v>0</v>
      </c>
      <c r="G1021" s="3">
        <v>4.3499999999999996</v>
      </c>
    </row>
    <row r="1022" spans="1:7" x14ac:dyDescent="0.25">
      <c r="A1022" s="2" t="str">
        <f>"00082480"</f>
        <v>00082480</v>
      </c>
      <c r="B1022" s="2" t="str">
        <f t="shared" ref="B1022:B1027" si="31">"  "</f>
        <v xml:space="preserve">  </v>
      </c>
      <c r="C1022" s="1" t="s">
        <v>744</v>
      </c>
      <c r="D1022" s="1" t="s">
        <v>0</v>
      </c>
      <c r="E1022" s="1" t="s">
        <v>12</v>
      </c>
      <c r="F1022" s="2" t="s">
        <v>0</v>
      </c>
      <c r="G1022" s="3">
        <v>7.87</v>
      </c>
    </row>
    <row r="1023" spans="1:7" x14ac:dyDescent="0.25">
      <c r="A1023" s="2" t="str">
        <f>"00082482"</f>
        <v>00082482</v>
      </c>
      <c r="B1023" s="2" t="str">
        <f t="shared" si="31"/>
        <v xml:space="preserve">  </v>
      </c>
      <c r="C1023" s="1" t="s">
        <v>745</v>
      </c>
      <c r="D1023" s="1" t="s">
        <v>0</v>
      </c>
      <c r="E1023" s="1" t="s">
        <v>12</v>
      </c>
      <c r="F1023" s="2" t="s">
        <v>0</v>
      </c>
      <c r="G1023" s="3">
        <v>9.81</v>
      </c>
    </row>
    <row r="1024" spans="1:7" ht="29.25" x14ac:dyDescent="0.25">
      <c r="A1024" s="2" t="str">
        <f>"00082485"</f>
        <v>00082485</v>
      </c>
      <c r="B1024" s="2" t="str">
        <f t="shared" si="31"/>
        <v xml:space="preserve">  </v>
      </c>
      <c r="C1024" s="1" t="s">
        <v>746</v>
      </c>
      <c r="D1024" s="1" t="s">
        <v>0</v>
      </c>
      <c r="E1024" s="1" t="s">
        <v>12</v>
      </c>
      <c r="F1024" s="2" t="s">
        <v>0</v>
      </c>
      <c r="G1024" s="3">
        <v>20.65</v>
      </c>
    </row>
    <row r="1025" spans="1:7" x14ac:dyDescent="0.25">
      <c r="A1025" s="2" t="str">
        <f>"00082495"</f>
        <v>00082495</v>
      </c>
      <c r="B1025" s="2" t="str">
        <f t="shared" si="31"/>
        <v xml:space="preserve">  </v>
      </c>
      <c r="C1025" s="1" t="s">
        <v>747</v>
      </c>
      <c r="D1025" s="1" t="s">
        <v>0</v>
      </c>
      <c r="E1025" s="1" t="s">
        <v>12</v>
      </c>
      <c r="F1025" s="2" t="s">
        <v>0</v>
      </c>
      <c r="G1025" s="3">
        <v>20.28</v>
      </c>
    </row>
    <row r="1026" spans="1:7" x14ac:dyDescent="0.25">
      <c r="A1026" s="2" t="str">
        <f>"00082507"</f>
        <v>00082507</v>
      </c>
      <c r="B1026" s="2" t="str">
        <f t="shared" si="31"/>
        <v xml:space="preserve">  </v>
      </c>
      <c r="C1026" s="1" t="s">
        <v>748</v>
      </c>
      <c r="D1026" s="1" t="s">
        <v>0</v>
      </c>
      <c r="E1026" s="1" t="s">
        <v>12</v>
      </c>
      <c r="F1026" s="2" t="s">
        <v>0</v>
      </c>
      <c r="G1026" s="3">
        <v>27.8</v>
      </c>
    </row>
    <row r="1027" spans="1:7" ht="29.25" x14ac:dyDescent="0.25">
      <c r="A1027" s="2" t="str">
        <f>"00082523"</f>
        <v>00082523</v>
      </c>
      <c r="B1027" s="2" t="str">
        <f t="shared" si="31"/>
        <v xml:space="preserve">  </v>
      </c>
      <c r="C1027" s="1" t="s">
        <v>749</v>
      </c>
      <c r="D1027" s="1" t="s">
        <v>0</v>
      </c>
      <c r="E1027" s="1" t="s">
        <v>12</v>
      </c>
      <c r="F1027" s="2" t="s">
        <v>0</v>
      </c>
      <c r="G1027" s="3">
        <v>18.68</v>
      </c>
    </row>
    <row r="1028" spans="1:7" ht="29.25" x14ac:dyDescent="0.25">
      <c r="A1028" s="2" t="str">
        <f>"00082523"</f>
        <v>00082523</v>
      </c>
      <c r="B1028" s="2" t="str">
        <f>"QW"</f>
        <v>QW</v>
      </c>
      <c r="C1028" s="1" t="s">
        <v>750</v>
      </c>
      <c r="D1028" s="1" t="s">
        <v>0</v>
      </c>
      <c r="E1028" s="1" t="s">
        <v>12</v>
      </c>
      <c r="F1028" s="2" t="s">
        <v>0</v>
      </c>
      <c r="G1028" s="3">
        <v>18.68</v>
      </c>
    </row>
    <row r="1029" spans="1:7" x14ac:dyDescent="0.25">
      <c r="A1029" s="2" t="str">
        <f>"00082525"</f>
        <v>00082525</v>
      </c>
      <c r="B1029" s="2" t="str">
        <f t="shared" ref="B1029:B1035" si="32">"  "</f>
        <v xml:space="preserve">  </v>
      </c>
      <c r="C1029" s="1" t="s">
        <v>751</v>
      </c>
      <c r="D1029" s="1" t="s">
        <v>0</v>
      </c>
      <c r="E1029" s="1" t="s">
        <v>12</v>
      </c>
      <c r="F1029" s="2" t="s">
        <v>0</v>
      </c>
      <c r="G1029" s="3">
        <v>12.41</v>
      </c>
    </row>
    <row r="1030" spans="1:7" x14ac:dyDescent="0.25">
      <c r="A1030" s="2" t="str">
        <f>"00082528"</f>
        <v>00082528</v>
      </c>
      <c r="B1030" s="2" t="str">
        <f t="shared" si="32"/>
        <v xml:space="preserve">  </v>
      </c>
      <c r="C1030" s="1" t="s">
        <v>752</v>
      </c>
      <c r="D1030" s="1" t="s">
        <v>0</v>
      </c>
      <c r="E1030" s="1" t="s">
        <v>12</v>
      </c>
      <c r="F1030" s="2" t="s">
        <v>0</v>
      </c>
      <c r="G1030" s="3">
        <v>22.52</v>
      </c>
    </row>
    <row r="1031" spans="1:7" x14ac:dyDescent="0.25">
      <c r="A1031" s="2" t="str">
        <f>"00082530"</f>
        <v>00082530</v>
      </c>
      <c r="B1031" s="2" t="str">
        <f t="shared" si="32"/>
        <v xml:space="preserve">  </v>
      </c>
      <c r="C1031" s="1" t="s">
        <v>753</v>
      </c>
      <c r="D1031" s="1" t="s">
        <v>0</v>
      </c>
      <c r="E1031" s="1" t="s">
        <v>12</v>
      </c>
      <c r="F1031" s="2" t="s">
        <v>0</v>
      </c>
      <c r="G1031" s="3">
        <v>16.71</v>
      </c>
    </row>
    <row r="1032" spans="1:7" x14ac:dyDescent="0.25">
      <c r="A1032" s="2" t="str">
        <f>"00082533"</f>
        <v>00082533</v>
      </c>
      <c r="B1032" s="2" t="str">
        <f t="shared" si="32"/>
        <v xml:space="preserve">  </v>
      </c>
      <c r="C1032" s="1" t="s">
        <v>754</v>
      </c>
      <c r="D1032" s="1" t="s">
        <v>0</v>
      </c>
      <c r="E1032" s="1" t="s">
        <v>12</v>
      </c>
      <c r="F1032" s="2" t="s">
        <v>0</v>
      </c>
      <c r="G1032" s="3">
        <v>16.3</v>
      </c>
    </row>
    <row r="1033" spans="1:7" ht="29.25" x14ac:dyDescent="0.25">
      <c r="A1033" s="2" t="str">
        <f>"00082540"</f>
        <v>00082540</v>
      </c>
      <c r="B1033" s="2" t="str">
        <f t="shared" si="32"/>
        <v xml:space="preserve">  </v>
      </c>
      <c r="C1033" s="1" t="s">
        <v>755</v>
      </c>
      <c r="D1033" s="1" t="s">
        <v>0</v>
      </c>
      <c r="E1033" s="1" t="s">
        <v>12</v>
      </c>
      <c r="F1033" s="2" t="s">
        <v>0</v>
      </c>
      <c r="G1033" s="3">
        <v>4.6399999999999997</v>
      </c>
    </row>
    <row r="1034" spans="1:7" ht="100.5" x14ac:dyDescent="0.25">
      <c r="A1034" s="2" t="str">
        <f>"00082542"</f>
        <v>00082542</v>
      </c>
      <c r="B1034" s="2" t="str">
        <f t="shared" si="32"/>
        <v xml:space="preserve">  </v>
      </c>
      <c r="C1034" s="1" t="s">
        <v>756</v>
      </c>
      <c r="D1034" s="1" t="s">
        <v>0</v>
      </c>
      <c r="E1034" s="1" t="s">
        <v>12</v>
      </c>
      <c r="F1034" s="2" t="s">
        <v>0</v>
      </c>
      <c r="G1034" s="3">
        <v>24.09</v>
      </c>
    </row>
    <row r="1035" spans="1:7" ht="43.5" x14ac:dyDescent="0.25">
      <c r="A1035" s="2" t="str">
        <f>"00082550"</f>
        <v>00082550</v>
      </c>
      <c r="B1035" s="2" t="str">
        <f t="shared" si="32"/>
        <v xml:space="preserve">  </v>
      </c>
      <c r="C1035" s="1" t="s">
        <v>757</v>
      </c>
      <c r="D1035" s="1" t="s">
        <v>0</v>
      </c>
      <c r="E1035" s="1" t="s">
        <v>12</v>
      </c>
      <c r="F1035" s="2" t="s">
        <v>0</v>
      </c>
      <c r="G1035" s="3">
        <v>6.51</v>
      </c>
    </row>
    <row r="1036" spans="1:7" ht="43.5" x14ac:dyDescent="0.25">
      <c r="A1036" s="2" t="str">
        <f>"00082550"</f>
        <v>00082550</v>
      </c>
      <c r="B1036" s="2" t="str">
        <f>"QW"</f>
        <v>QW</v>
      </c>
      <c r="C1036" s="1" t="s">
        <v>758</v>
      </c>
      <c r="D1036" s="1" t="s">
        <v>0</v>
      </c>
      <c r="E1036" s="1" t="s">
        <v>12</v>
      </c>
      <c r="F1036" s="2" t="s">
        <v>0</v>
      </c>
      <c r="G1036" s="3">
        <v>6.51</v>
      </c>
    </row>
    <row r="1037" spans="1:7" x14ac:dyDescent="0.25">
      <c r="A1037" s="2" t="str">
        <f>"00082552"</f>
        <v>00082552</v>
      </c>
      <c r="B1037" s="2" t="str">
        <f>"  "</f>
        <v xml:space="preserve">  </v>
      </c>
      <c r="C1037" s="1" t="s">
        <v>759</v>
      </c>
      <c r="D1037" s="1" t="s">
        <v>0</v>
      </c>
      <c r="E1037" s="1" t="s">
        <v>12</v>
      </c>
      <c r="F1037" s="2" t="s">
        <v>0</v>
      </c>
      <c r="G1037" s="3">
        <v>13.39</v>
      </c>
    </row>
    <row r="1038" spans="1:7" ht="29.25" x14ac:dyDescent="0.25">
      <c r="A1038" s="2" t="str">
        <f>"00082553"</f>
        <v>00082553</v>
      </c>
      <c r="B1038" s="2" t="str">
        <f>"  "</f>
        <v xml:space="preserve">  </v>
      </c>
      <c r="C1038" s="1" t="s">
        <v>760</v>
      </c>
      <c r="D1038" s="1" t="s">
        <v>0</v>
      </c>
      <c r="E1038" s="1" t="s">
        <v>12</v>
      </c>
      <c r="F1038" s="2" t="s">
        <v>0</v>
      </c>
      <c r="G1038" s="3">
        <v>11.55</v>
      </c>
    </row>
    <row r="1039" spans="1:7" x14ac:dyDescent="0.25">
      <c r="A1039" s="2" t="str">
        <f>"00082554"</f>
        <v>00082554</v>
      </c>
      <c r="B1039" s="2" t="str">
        <f>"  "</f>
        <v xml:space="preserve">  </v>
      </c>
      <c r="C1039" s="1" t="s">
        <v>761</v>
      </c>
      <c r="D1039" s="1" t="s">
        <v>0</v>
      </c>
      <c r="E1039" s="1" t="s">
        <v>12</v>
      </c>
      <c r="F1039" s="2" t="s">
        <v>0</v>
      </c>
      <c r="G1039" s="3">
        <v>11.87</v>
      </c>
    </row>
    <row r="1040" spans="1:7" ht="29.25" x14ac:dyDescent="0.25">
      <c r="A1040" s="2" t="str">
        <f>"00082565"</f>
        <v>00082565</v>
      </c>
      <c r="B1040" s="2" t="str">
        <f>"  "</f>
        <v xml:space="preserve">  </v>
      </c>
      <c r="C1040" s="1" t="s">
        <v>762</v>
      </c>
      <c r="D1040" s="1" t="s">
        <v>0</v>
      </c>
      <c r="E1040" s="1" t="s">
        <v>12</v>
      </c>
      <c r="F1040" s="2" t="s">
        <v>0</v>
      </c>
      <c r="G1040" s="3">
        <v>5.12</v>
      </c>
    </row>
    <row r="1041" spans="1:7" x14ac:dyDescent="0.25">
      <c r="A1041" s="2" t="str">
        <f>"00082565"</f>
        <v>00082565</v>
      </c>
      <c r="B1041" s="2" t="str">
        <f>"QW"</f>
        <v>QW</v>
      </c>
      <c r="C1041" s="1" t="s">
        <v>763</v>
      </c>
      <c r="D1041" s="1" t="s">
        <v>0</v>
      </c>
      <c r="E1041" s="1" t="s">
        <v>12</v>
      </c>
      <c r="F1041" s="2" t="s">
        <v>0</v>
      </c>
      <c r="G1041" s="3">
        <v>5.12</v>
      </c>
    </row>
    <row r="1042" spans="1:7" ht="29.25" x14ac:dyDescent="0.25">
      <c r="A1042" s="2" t="str">
        <f>"00082570"</f>
        <v>00082570</v>
      </c>
      <c r="B1042" s="2" t="str">
        <f>"  "</f>
        <v xml:space="preserve">  </v>
      </c>
      <c r="C1042" s="1" t="s">
        <v>764</v>
      </c>
      <c r="D1042" s="1" t="s">
        <v>0</v>
      </c>
      <c r="E1042" s="1" t="s">
        <v>12</v>
      </c>
      <c r="F1042" s="2" t="s">
        <v>0</v>
      </c>
      <c r="G1042" s="3">
        <v>5.18</v>
      </c>
    </row>
    <row r="1043" spans="1:7" ht="29.25" x14ac:dyDescent="0.25">
      <c r="A1043" s="2" t="str">
        <f>"00082570"</f>
        <v>00082570</v>
      </c>
      <c r="B1043" s="2" t="str">
        <f>"QW"</f>
        <v>QW</v>
      </c>
      <c r="C1043" s="1" t="s">
        <v>765</v>
      </c>
      <c r="D1043" s="1" t="s">
        <v>0</v>
      </c>
      <c r="E1043" s="1" t="s">
        <v>12</v>
      </c>
      <c r="F1043" s="2" t="s">
        <v>0</v>
      </c>
      <c r="G1043" s="3">
        <v>5.18</v>
      </c>
    </row>
    <row r="1044" spans="1:7" x14ac:dyDescent="0.25">
      <c r="A1044" s="2" t="str">
        <f>"00082575"</f>
        <v>00082575</v>
      </c>
      <c r="B1044" s="2" t="str">
        <f t="shared" ref="B1044:B1059" si="33">"  "</f>
        <v xml:space="preserve">  </v>
      </c>
      <c r="C1044" s="1" t="s">
        <v>766</v>
      </c>
      <c r="D1044" s="1" t="s">
        <v>0</v>
      </c>
      <c r="E1044" s="1" t="s">
        <v>12</v>
      </c>
      <c r="F1044" s="2" t="s">
        <v>0</v>
      </c>
      <c r="G1044" s="3">
        <v>9.4600000000000009</v>
      </c>
    </row>
    <row r="1045" spans="1:7" x14ac:dyDescent="0.25">
      <c r="A1045" s="2" t="str">
        <f>"00082585"</f>
        <v>00082585</v>
      </c>
      <c r="B1045" s="2" t="str">
        <f t="shared" si="33"/>
        <v xml:space="preserve">  </v>
      </c>
      <c r="C1045" s="1" t="s">
        <v>767</v>
      </c>
      <c r="D1045" s="1" t="s">
        <v>0</v>
      </c>
      <c r="E1045" s="1" t="s">
        <v>12</v>
      </c>
      <c r="F1045" s="2" t="s">
        <v>0</v>
      </c>
      <c r="G1045" s="3">
        <v>14.14</v>
      </c>
    </row>
    <row r="1046" spans="1:7" ht="57.75" x14ac:dyDescent="0.25">
      <c r="A1046" s="2" t="str">
        <f>"00082595"</f>
        <v>00082595</v>
      </c>
      <c r="B1046" s="2" t="str">
        <f t="shared" si="33"/>
        <v xml:space="preserve">  </v>
      </c>
      <c r="C1046" s="1" t="s">
        <v>768</v>
      </c>
      <c r="D1046" s="1" t="s">
        <v>0</v>
      </c>
      <c r="E1046" s="1" t="s">
        <v>12</v>
      </c>
      <c r="F1046" s="2" t="s">
        <v>0</v>
      </c>
      <c r="G1046" s="3">
        <v>6.47</v>
      </c>
    </row>
    <row r="1047" spans="1:7" x14ac:dyDescent="0.25">
      <c r="A1047" s="2" t="str">
        <f>"00082600"</f>
        <v>00082600</v>
      </c>
      <c r="B1047" s="2" t="str">
        <f t="shared" si="33"/>
        <v xml:space="preserve">  </v>
      </c>
      <c r="C1047" s="1" t="s">
        <v>769</v>
      </c>
      <c r="D1047" s="1" t="s">
        <v>0</v>
      </c>
      <c r="E1047" s="1" t="s">
        <v>12</v>
      </c>
      <c r="F1047" s="2" t="s">
        <v>0</v>
      </c>
      <c r="G1047" s="3">
        <v>19.399999999999999</v>
      </c>
    </row>
    <row r="1048" spans="1:7" ht="29.25" x14ac:dyDescent="0.25">
      <c r="A1048" s="2" t="str">
        <f>"00082607"</f>
        <v>00082607</v>
      </c>
      <c r="B1048" s="2" t="str">
        <f t="shared" si="33"/>
        <v xml:space="preserve">  </v>
      </c>
      <c r="C1048" s="1" t="s">
        <v>770</v>
      </c>
      <c r="D1048" s="1" t="s">
        <v>0</v>
      </c>
      <c r="E1048" s="1" t="s">
        <v>12</v>
      </c>
      <c r="F1048" s="2" t="s">
        <v>0</v>
      </c>
      <c r="G1048" s="3">
        <v>15.08</v>
      </c>
    </row>
    <row r="1049" spans="1:7" ht="43.5" x14ac:dyDescent="0.25">
      <c r="A1049" s="2" t="str">
        <f>"00082608"</f>
        <v>00082608</v>
      </c>
      <c r="B1049" s="2" t="str">
        <f t="shared" si="33"/>
        <v xml:space="preserve">  </v>
      </c>
      <c r="C1049" s="1" t="s">
        <v>771</v>
      </c>
      <c r="D1049" s="1" t="s">
        <v>0</v>
      </c>
      <c r="E1049" s="1" t="s">
        <v>12</v>
      </c>
      <c r="F1049" s="2" t="s">
        <v>0</v>
      </c>
      <c r="G1049" s="3">
        <v>14.32</v>
      </c>
    </row>
    <row r="1050" spans="1:7" x14ac:dyDescent="0.25">
      <c r="A1050" s="2" t="str">
        <f>"00082610"</f>
        <v>00082610</v>
      </c>
      <c r="B1050" s="2" t="str">
        <f t="shared" si="33"/>
        <v xml:space="preserve">  </v>
      </c>
      <c r="C1050" s="1" t="s">
        <v>772</v>
      </c>
      <c r="D1050" s="1" t="s">
        <v>0</v>
      </c>
      <c r="E1050" s="1" t="s">
        <v>12</v>
      </c>
      <c r="F1050" s="2" t="s">
        <v>0</v>
      </c>
      <c r="G1050" s="3">
        <v>18.52</v>
      </c>
    </row>
    <row r="1051" spans="1:7" ht="29.25" x14ac:dyDescent="0.25">
      <c r="A1051" s="2" t="str">
        <f>"00082615"</f>
        <v>00082615</v>
      </c>
      <c r="B1051" s="2" t="str">
        <f t="shared" si="33"/>
        <v xml:space="preserve">  </v>
      </c>
      <c r="C1051" s="1" t="s">
        <v>773</v>
      </c>
      <c r="D1051" s="1" t="s">
        <v>0</v>
      </c>
      <c r="E1051" s="1" t="s">
        <v>12</v>
      </c>
      <c r="F1051" s="2" t="s">
        <v>0</v>
      </c>
      <c r="G1051" s="3">
        <v>9.5500000000000007</v>
      </c>
    </row>
    <row r="1052" spans="1:7" ht="29.25" x14ac:dyDescent="0.25">
      <c r="A1052" s="2" t="str">
        <f>"00082626"</f>
        <v>00082626</v>
      </c>
      <c r="B1052" s="2" t="str">
        <f t="shared" si="33"/>
        <v xml:space="preserve">  </v>
      </c>
      <c r="C1052" s="1" t="s">
        <v>774</v>
      </c>
      <c r="D1052" s="1" t="s">
        <v>0</v>
      </c>
      <c r="E1052" s="1" t="s">
        <v>12</v>
      </c>
      <c r="F1052" s="2" t="s">
        <v>0</v>
      </c>
      <c r="G1052" s="3">
        <v>25.27</v>
      </c>
    </row>
    <row r="1053" spans="1:7" ht="29.25" x14ac:dyDescent="0.25">
      <c r="A1053" s="2" t="str">
        <f>"00082627"</f>
        <v>00082627</v>
      </c>
      <c r="B1053" s="2" t="str">
        <f t="shared" si="33"/>
        <v xml:space="preserve">  </v>
      </c>
      <c r="C1053" s="1" t="s">
        <v>775</v>
      </c>
      <c r="D1053" s="1" t="s">
        <v>0</v>
      </c>
      <c r="E1053" s="1" t="s">
        <v>12</v>
      </c>
      <c r="F1053" s="2" t="s">
        <v>0</v>
      </c>
      <c r="G1053" s="3">
        <v>22.23</v>
      </c>
    </row>
    <row r="1054" spans="1:7" ht="29.25" x14ac:dyDescent="0.25">
      <c r="A1054" s="2" t="str">
        <f>"00082633"</f>
        <v>00082633</v>
      </c>
      <c r="B1054" s="2" t="str">
        <f t="shared" si="33"/>
        <v xml:space="preserve">  </v>
      </c>
      <c r="C1054" s="1" t="s">
        <v>776</v>
      </c>
      <c r="D1054" s="1" t="s">
        <v>0</v>
      </c>
      <c r="E1054" s="1" t="s">
        <v>12</v>
      </c>
      <c r="F1054" s="2" t="s">
        <v>0</v>
      </c>
      <c r="G1054" s="3">
        <v>30.98</v>
      </c>
    </row>
    <row r="1055" spans="1:7" x14ac:dyDescent="0.25">
      <c r="A1055" s="2" t="str">
        <f>"00082634"</f>
        <v>00082634</v>
      </c>
      <c r="B1055" s="2" t="str">
        <f t="shared" si="33"/>
        <v xml:space="preserve">  </v>
      </c>
      <c r="C1055" s="1" t="s">
        <v>777</v>
      </c>
      <c r="D1055" s="1" t="s">
        <v>0</v>
      </c>
      <c r="E1055" s="1" t="s">
        <v>12</v>
      </c>
      <c r="F1055" s="2" t="s">
        <v>0</v>
      </c>
      <c r="G1055" s="3">
        <v>29.28</v>
      </c>
    </row>
    <row r="1056" spans="1:7" x14ac:dyDescent="0.25">
      <c r="A1056" s="2" t="str">
        <f>"00082638"</f>
        <v>00082638</v>
      </c>
      <c r="B1056" s="2" t="str">
        <f t="shared" si="33"/>
        <v xml:space="preserve">  </v>
      </c>
      <c r="C1056" s="1" t="s">
        <v>778</v>
      </c>
      <c r="D1056" s="1" t="s">
        <v>0</v>
      </c>
      <c r="E1056" s="1" t="s">
        <v>12</v>
      </c>
      <c r="F1056" s="2" t="s">
        <v>0</v>
      </c>
      <c r="G1056" s="3">
        <v>12.25</v>
      </c>
    </row>
    <row r="1057" spans="1:7" ht="29.25" x14ac:dyDescent="0.25">
      <c r="A1057" s="2" t="str">
        <f>"00082642"</f>
        <v>00082642</v>
      </c>
      <c r="B1057" s="2" t="str">
        <f t="shared" si="33"/>
        <v xml:space="preserve">  </v>
      </c>
      <c r="C1057" s="1" t="s">
        <v>779</v>
      </c>
      <c r="D1057" s="1" t="s">
        <v>0</v>
      </c>
      <c r="E1057" s="1" t="s">
        <v>12</v>
      </c>
      <c r="F1057" s="2" t="s">
        <v>0</v>
      </c>
      <c r="G1057" s="3">
        <v>29.28</v>
      </c>
    </row>
    <row r="1058" spans="1:7" ht="57.75" x14ac:dyDescent="0.25">
      <c r="A1058" s="2" t="str">
        <f>"00082652"</f>
        <v>00082652</v>
      </c>
      <c r="B1058" s="2" t="str">
        <f t="shared" si="33"/>
        <v xml:space="preserve">  </v>
      </c>
      <c r="C1058" s="1" t="s">
        <v>780</v>
      </c>
      <c r="D1058" s="1" t="s">
        <v>0</v>
      </c>
      <c r="E1058" s="1" t="s">
        <v>12</v>
      </c>
      <c r="F1058" s="2" t="s">
        <v>0</v>
      </c>
      <c r="G1058" s="3">
        <v>38.5</v>
      </c>
    </row>
    <row r="1059" spans="1:7" ht="29.25" x14ac:dyDescent="0.25">
      <c r="A1059" s="2" t="str">
        <f>"00082653"</f>
        <v>00082653</v>
      </c>
      <c r="B1059" s="2" t="str">
        <f t="shared" si="33"/>
        <v xml:space="preserve">  </v>
      </c>
      <c r="C1059" s="1" t="s">
        <v>781</v>
      </c>
      <c r="D1059" s="1" t="s">
        <v>0</v>
      </c>
      <c r="E1059" s="1" t="s">
        <v>12</v>
      </c>
      <c r="F1059" s="2" t="s">
        <v>0</v>
      </c>
      <c r="G1059" s="3">
        <v>22.97</v>
      </c>
    </row>
    <row r="1060" spans="1:7" ht="29.25" x14ac:dyDescent="0.25">
      <c r="A1060" s="2" t="str">
        <f>"00082653"</f>
        <v>00082653</v>
      </c>
      <c r="B1060" s="2" t="str">
        <f>"90"</f>
        <v>90</v>
      </c>
      <c r="C1060" s="1" t="s">
        <v>781</v>
      </c>
      <c r="D1060" s="1" t="s">
        <v>0</v>
      </c>
      <c r="E1060" s="1" t="s">
        <v>14</v>
      </c>
      <c r="F1060" s="2" t="s">
        <v>0</v>
      </c>
      <c r="G1060" s="17" t="s">
        <v>1769</v>
      </c>
    </row>
    <row r="1061" spans="1:7" ht="43.5" x14ac:dyDescent="0.25">
      <c r="A1061" s="2" t="str">
        <f>"00082656"</f>
        <v>00082656</v>
      </c>
      <c r="B1061" s="2" t="str">
        <f t="shared" ref="B1061:B1070" si="34">"  "</f>
        <v xml:space="preserve">  </v>
      </c>
      <c r="C1061" s="1" t="s">
        <v>782</v>
      </c>
      <c r="D1061" s="1" t="s">
        <v>0</v>
      </c>
      <c r="E1061" s="1" t="s">
        <v>12</v>
      </c>
      <c r="F1061" s="2" t="s">
        <v>0</v>
      </c>
      <c r="G1061" s="3">
        <v>11.53</v>
      </c>
    </row>
    <row r="1062" spans="1:7" ht="86.25" x14ac:dyDescent="0.25">
      <c r="A1062" s="2" t="str">
        <f>"00082657"</f>
        <v>00082657</v>
      </c>
      <c r="B1062" s="2" t="str">
        <f t="shared" si="34"/>
        <v xml:space="preserve">  </v>
      </c>
      <c r="C1062" s="1" t="s">
        <v>783</v>
      </c>
      <c r="D1062" s="1" t="s">
        <v>0</v>
      </c>
      <c r="E1062" s="1" t="s">
        <v>12</v>
      </c>
      <c r="F1062" s="2" t="s">
        <v>0</v>
      </c>
      <c r="G1062" s="3">
        <v>22.17</v>
      </c>
    </row>
    <row r="1063" spans="1:7" ht="72" x14ac:dyDescent="0.25">
      <c r="A1063" s="2" t="str">
        <f>"00082658"</f>
        <v>00082658</v>
      </c>
      <c r="B1063" s="2" t="str">
        <f t="shared" si="34"/>
        <v xml:space="preserve">  </v>
      </c>
      <c r="C1063" s="1" t="s">
        <v>784</v>
      </c>
      <c r="D1063" s="1" t="s">
        <v>0</v>
      </c>
      <c r="E1063" s="1" t="s">
        <v>12</v>
      </c>
      <c r="F1063" s="2" t="s">
        <v>0</v>
      </c>
      <c r="G1063" s="3">
        <v>44.03</v>
      </c>
    </row>
    <row r="1064" spans="1:7" ht="43.5" x14ac:dyDescent="0.25">
      <c r="A1064" s="2" t="str">
        <f>"00082664"</f>
        <v>00082664</v>
      </c>
      <c r="B1064" s="2" t="str">
        <f t="shared" si="34"/>
        <v xml:space="preserve">  </v>
      </c>
      <c r="C1064" s="1" t="s">
        <v>785</v>
      </c>
      <c r="D1064" s="1" t="s">
        <v>0</v>
      </c>
      <c r="E1064" s="1" t="s">
        <v>12</v>
      </c>
      <c r="F1064" s="2" t="s">
        <v>0</v>
      </c>
      <c r="G1064" s="3">
        <v>61.5</v>
      </c>
    </row>
    <row r="1065" spans="1:7" x14ac:dyDescent="0.25">
      <c r="A1065" s="2" t="str">
        <f>"00082668"</f>
        <v>00082668</v>
      </c>
      <c r="B1065" s="2" t="str">
        <f t="shared" si="34"/>
        <v xml:space="preserve">  </v>
      </c>
      <c r="C1065" s="1" t="s">
        <v>786</v>
      </c>
      <c r="D1065" s="1" t="s">
        <v>0</v>
      </c>
      <c r="E1065" s="1" t="s">
        <v>12</v>
      </c>
      <c r="F1065" s="2" t="s">
        <v>0</v>
      </c>
      <c r="G1065" s="3">
        <v>18.79</v>
      </c>
    </row>
    <row r="1066" spans="1:7" x14ac:dyDescent="0.25">
      <c r="A1066" s="2" t="str">
        <f>"00082670"</f>
        <v>00082670</v>
      </c>
      <c r="B1066" s="2" t="str">
        <f t="shared" si="34"/>
        <v xml:space="preserve">  </v>
      </c>
      <c r="C1066" s="1" t="s">
        <v>787</v>
      </c>
      <c r="D1066" s="1" t="s">
        <v>0</v>
      </c>
      <c r="E1066" s="1" t="s">
        <v>12</v>
      </c>
      <c r="F1066" s="2" t="s">
        <v>0</v>
      </c>
      <c r="G1066" s="3">
        <v>27.94</v>
      </c>
    </row>
    <row r="1067" spans="1:7" ht="29.25" x14ac:dyDescent="0.25">
      <c r="A1067" s="2" t="str">
        <f>"00082671"</f>
        <v>00082671</v>
      </c>
      <c r="B1067" s="2" t="str">
        <f t="shared" si="34"/>
        <v xml:space="preserve">  </v>
      </c>
      <c r="C1067" s="1" t="s">
        <v>788</v>
      </c>
      <c r="D1067" s="1" t="s">
        <v>0</v>
      </c>
      <c r="E1067" s="1" t="s">
        <v>12</v>
      </c>
      <c r="F1067" s="2" t="s">
        <v>0</v>
      </c>
      <c r="G1067" s="3">
        <v>32.299999999999997</v>
      </c>
    </row>
    <row r="1068" spans="1:7" ht="29.25" x14ac:dyDescent="0.25">
      <c r="A1068" s="2" t="str">
        <f>"00082672"</f>
        <v>00082672</v>
      </c>
      <c r="B1068" s="2" t="str">
        <f t="shared" si="34"/>
        <v xml:space="preserve">  </v>
      </c>
      <c r="C1068" s="1" t="s">
        <v>789</v>
      </c>
      <c r="D1068" s="1" t="s">
        <v>0</v>
      </c>
      <c r="E1068" s="1" t="s">
        <v>12</v>
      </c>
      <c r="F1068" s="2" t="s">
        <v>0</v>
      </c>
      <c r="G1068" s="3">
        <v>21.7</v>
      </c>
    </row>
    <row r="1069" spans="1:7" ht="57.75" x14ac:dyDescent="0.25">
      <c r="A1069" s="2" t="str">
        <f>"00082677"</f>
        <v>00082677</v>
      </c>
      <c r="B1069" s="2" t="str">
        <f t="shared" si="34"/>
        <v xml:space="preserve">  </v>
      </c>
      <c r="C1069" s="1" t="s">
        <v>790</v>
      </c>
      <c r="D1069" s="1" t="s">
        <v>0</v>
      </c>
      <c r="E1069" s="1" t="s">
        <v>791</v>
      </c>
      <c r="F1069" s="2" t="s">
        <v>0</v>
      </c>
      <c r="G1069" s="3">
        <v>24.18</v>
      </c>
    </row>
    <row r="1070" spans="1:7" x14ac:dyDescent="0.25">
      <c r="A1070" s="2" t="str">
        <f>"00082679"</f>
        <v>00082679</v>
      </c>
      <c r="B1070" s="2" t="str">
        <f t="shared" si="34"/>
        <v xml:space="preserve">  </v>
      </c>
      <c r="C1070" s="1" t="s">
        <v>792</v>
      </c>
      <c r="D1070" s="1" t="s">
        <v>0</v>
      </c>
      <c r="E1070" s="1" t="s">
        <v>12</v>
      </c>
      <c r="F1070" s="2" t="s">
        <v>0</v>
      </c>
      <c r="G1070" s="3">
        <v>24.95</v>
      </c>
    </row>
    <row r="1071" spans="1:7" x14ac:dyDescent="0.25">
      <c r="A1071" s="2" t="str">
        <f>"00082679"</f>
        <v>00082679</v>
      </c>
      <c r="B1071" s="2" t="str">
        <f>"QW"</f>
        <v>QW</v>
      </c>
      <c r="C1071" s="1" t="s">
        <v>792</v>
      </c>
      <c r="D1071" s="1" t="s">
        <v>0</v>
      </c>
      <c r="E1071" s="1" t="s">
        <v>12</v>
      </c>
      <c r="F1071" s="2" t="s">
        <v>0</v>
      </c>
      <c r="G1071" s="3">
        <v>24.95</v>
      </c>
    </row>
    <row r="1072" spans="1:7" ht="29.25" x14ac:dyDescent="0.25">
      <c r="A1072" s="2" t="str">
        <f>"00082681"</f>
        <v>00082681</v>
      </c>
      <c r="B1072" s="2" t="str">
        <f>"  "</f>
        <v xml:space="preserve">  </v>
      </c>
      <c r="C1072" s="1" t="s">
        <v>793</v>
      </c>
      <c r="D1072" s="1" t="s">
        <v>0</v>
      </c>
      <c r="E1072" s="1" t="s">
        <v>12</v>
      </c>
      <c r="F1072" s="2" t="s">
        <v>0</v>
      </c>
      <c r="G1072" s="3">
        <v>27.94</v>
      </c>
    </row>
    <row r="1073" spans="1:7" ht="29.25" x14ac:dyDescent="0.25">
      <c r="A1073" s="2" t="str">
        <f>"00082681"</f>
        <v>00082681</v>
      </c>
      <c r="B1073" s="2" t="str">
        <f>"90"</f>
        <v>90</v>
      </c>
      <c r="C1073" s="1" t="s">
        <v>793</v>
      </c>
      <c r="D1073" s="1" t="s">
        <v>0</v>
      </c>
      <c r="E1073" s="1" t="s">
        <v>14</v>
      </c>
      <c r="F1073" s="2" t="s">
        <v>0</v>
      </c>
      <c r="G1073" s="17" t="s">
        <v>1769</v>
      </c>
    </row>
    <row r="1074" spans="1:7" x14ac:dyDescent="0.25">
      <c r="A1074" s="2" t="str">
        <f>"00082693"</f>
        <v>00082693</v>
      </c>
      <c r="B1074" s="2" t="str">
        <f t="shared" ref="B1074:B1106" si="35">"  "</f>
        <v xml:space="preserve">  </v>
      </c>
      <c r="C1074" s="1" t="s">
        <v>794</v>
      </c>
      <c r="D1074" s="1" t="s">
        <v>0</v>
      </c>
      <c r="E1074" s="1" t="s">
        <v>12</v>
      </c>
      <c r="F1074" s="2" t="s">
        <v>0</v>
      </c>
      <c r="G1074" s="3">
        <v>14.9</v>
      </c>
    </row>
    <row r="1075" spans="1:7" x14ac:dyDescent="0.25">
      <c r="A1075" s="2" t="str">
        <f>"00082696"</f>
        <v>00082696</v>
      </c>
      <c r="B1075" s="2" t="str">
        <f t="shared" si="35"/>
        <v xml:space="preserve">  </v>
      </c>
      <c r="C1075" s="1" t="s">
        <v>795</v>
      </c>
      <c r="D1075" s="1" t="s">
        <v>0</v>
      </c>
      <c r="E1075" s="1" t="s">
        <v>12</v>
      </c>
      <c r="F1075" s="2" t="s">
        <v>0</v>
      </c>
      <c r="G1075" s="3">
        <v>26.24</v>
      </c>
    </row>
    <row r="1076" spans="1:7" ht="29.25" x14ac:dyDescent="0.25">
      <c r="A1076" s="2" t="str">
        <f>"00082705"</f>
        <v>00082705</v>
      </c>
      <c r="B1076" s="2" t="str">
        <f t="shared" si="35"/>
        <v xml:space="preserve">  </v>
      </c>
      <c r="C1076" s="1" t="s">
        <v>796</v>
      </c>
      <c r="D1076" s="1" t="s">
        <v>0</v>
      </c>
      <c r="E1076" s="1" t="s">
        <v>12</v>
      </c>
      <c r="F1076" s="2" t="s">
        <v>0</v>
      </c>
      <c r="G1076" s="3">
        <v>5.0999999999999996</v>
      </c>
    </row>
    <row r="1077" spans="1:7" x14ac:dyDescent="0.25">
      <c r="A1077" s="2" t="str">
        <f>"00082710"</f>
        <v>00082710</v>
      </c>
      <c r="B1077" s="2" t="str">
        <f t="shared" si="35"/>
        <v xml:space="preserve">  </v>
      </c>
      <c r="C1077" s="1" t="s">
        <v>797</v>
      </c>
      <c r="D1077" s="1" t="s">
        <v>0</v>
      </c>
      <c r="E1077" s="1" t="s">
        <v>12</v>
      </c>
      <c r="F1077" s="2" t="s">
        <v>0</v>
      </c>
      <c r="G1077" s="3">
        <v>16.8</v>
      </c>
    </row>
    <row r="1078" spans="1:7" ht="29.25" x14ac:dyDescent="0.25">
      <c r="A1078" s="2" t="str">
        <f>"00082715"</f>
        <v>00082715</v>
      </c>
      <c r="B1078" s="2" t="str">
        <f t="shared" si="35"/>
        <v xml:space="preserve">  </v>
      </c>
      <c r="C1078" s="1" t="s">
        <v>798</v>
      </c>
      <c r="D1078" s="1" t="s">
        <v>0</v>
      </c>
      <c r="E1078" s="1" t="s">
        <v>12</v>
      </c>
      <c r="F1078" s="2" t="s">
        <v>0</v>
      </c>
      <c r="G1078" s="3">
        <v>22.97</v>
      </c>
    </row>
    <row r="1079" spans="1:7" ht="29.25" x14ac:dyDescent="0.25">
      <c r="A1079" s="2" t="str">
        <f>"00082725"</f>
        <v>00082725</v>
      </c>
      <c r="B1079" s="2" t="str">
        <f t="shared" si="35"/>
        <v xml:space="preserve">  </v>
      </c>
      <c r="C1079" s="1" t="s">
        <v>799</v>
      </c>
      <c r="D1079" s="1" t="s">
        <v>0</v>
      </c>
      <c r="E1079" s="1" t="s">
        <v>12</v>
      </c>
      <c r="F1079" s="2" t="s">
        <v>0</v>
      </c>
      <c r="G1079" s="3">
        <v>18.77</v>
      </c>
    </row>
    <row r="1080" spans="1:7" ht="29.25" x14ac:dyDescent="0.25">
      <c r="A1080" s="2" t="str">
        <f>"00082726"</f>
        <v>00082726</v>
      </c>
      <c r="B1080" s="2" t="str">
        <f t="shared" si="35"/>
        <v xml:space="preserve">  </v>
      </c>
      <c r="C1080" s="1" t="s">
        <v>800</v>
      </c>
      <c r="D1080" s="1" t="s">
        <v>0</v>
      </c>
      <c r="E1080" s="1" t="s">
        <v>12</v>
      </c>
      <c r="F1080" s="2" t="s">
        <v>0</v>
      </c>
      <c r="G1080" s="3">
        <v>19.75</v>
      </c>
    </row>
    <row r="1081" spans="1:7" x14ac:dyDescent="0.25">
      <c r="A1081" s="2" t="str">
        <f>"00082728"</f>
        <v>00082728</v>
      </c>
      <c r="B1081" s="2" t="str">
        <f t="shared" si="35"/>
        <v xml:space="preserve">  </v>
      </c>
      <c r="C1081" s="1" t="s">
        <v>801</v>
      </c>
      <c r="D1081" s="1" t="s">
        <v>0</v>
      </c>
      <c r="E1081" s="1" t="s">
        <v>12</v>
      </c>
      <c r="F1081" s="2" t="s">
        <v>0</v>
      </c>
      <c r="G1081" s="3">
        <v>13.63</v>
      </c>
    </row>
    <row r="1082" spans="1:7" ht="57.75" x14ac:dyDescent="0.25">
      <c r="A1082" s="2" t="str">
        <f>"00082731"</f>
        <v>00082731</v>
      </c>
      <c r="B1082" s="2" t="str">
        <f t="shared" si="35"/>
        <v xml:space="preserve">  </v>
      </c>
      <c r="C1082" s="1" t="s">
        <v>802</v>
      </c>
      <c r="D1082" s="1" t="s">
        <v>0</v>
      </c>
      <c r="E1082" s="1" t="s">
        <v>12</v>
      </c>
      <c r="F1082" s="2" t="s">
        <v>0</v>
      </c>
      <c r="G1082" s="3">
        <v>64.41</v>
      </c>
    </row>
    <row r="1083" spans="1:7" x14ac:dyDescent="0.25">
      <c r="A1083" s="2" t="str">
        <f>"00082735"</f>
        <v>00082735</v>
      </c>
      <c r="B1083" s="2" t="str">
        <f t="shared" si="35"/>
        <v xml:space="preserve">  </v>
      </c>
      <c r="C1083" s="1" t="s">
        <v>803</v>
      </c>
      <c r="D1083" s="1" t="s">
        <v>0</v>
      </c>
      <c r="E1083" s="1" t="s">
        <v>12</v>
      </c>
      <c r="F1083" s="2" t="s">
        <v>0</v>
      </c>
      <c r="G1083" s="3">
        <v>18.54</v>
      </c>
    </row>
    <row r="1084" spans="1:7" x14ac:dyDescent="0.25">
      <c r="A1084" s="2" t="str">
        <f>"00082746"</f>
        <v>00082746</v>
      </c>
      <c r="B1084" s="2" t="str">
        <f t="shared" si="35"/>
        <v xml:space="preserve">  </v>
      </c>
      <c r="C1084" s="1" t="s">
        <v>804</v>
      </c>
      <c r="D1084" s="1" t="s">
        <v>0</v>
      </c>
      <c r="E1084" s="1" t="s">
        <v>12</v>
      </c>
      <c r="F1084" s="2" t="s">
        <v>0</v>
      </c>
      <c r="G1084" s="3">
        <v>14.7</v>
      </c>
    </row>
    <row r="1085" spans="1:7" x14ac:dyDescent="0.25">
      <c r="A1085" s="2" t="str">
        <f>"00082747"</f>
        <v>00082747</v>
      </c>
      <c r="B1085" s="2" t="str">
        <f t="shared" si="35"/>
        <v xml:space="preserve">  </v>
      </c>
      <c r="C1085" s="1" t="s">
        <v>805</v>
      </c>
      <c r="D1085" s="1" t="s">
        <v>0</v>
      </c>
      <c r="E1085" s="1" t="s">
        <v>12</v>
      </c>
      <c r="F1085" s="2" t="s">
        <v>0</v>
      </c>
      <c r="G1085" s="3">
        <v>17.649999999999999</v>
      </c>
    </row>
    <row r="1086" spans="1:7" x14ac:dyDescent="0.25">
      <c r="A1086" s="2" t="str">
        <f>"00082757"</f>
        <v>00082757</v>
      </c>
      <c r="B1086" s="2" t="str">
        <f t="shared" si="35"/>
        <v xml:space="preserve">  </v>
      </c>
      <c r="C1086" s="1" t="s">
        <v>806</v>
      </c>
      <c r="D1086" s="1" t="s">
        <v>0</v>
      </c>
      <c r="E1086" s="1" t="s">
        <v>12</v>
      </c>
      <c r="F1086" s="2" t="s">
        <v>0</v>
      </c>
      <c r="G1086" s="3">
        <v>17.34</v>
      </c>
    </row>
    <row r="1087" spans="1:7" x14ac:dyDescent="0.25">
      <c r="A1087" s="2" t="str">
        <f>"00082759"</f>
        <v>00082759</v>
      </c>
      <c r="B1087" s="2" t="str">
        <f t="shared" si="35"/>
        <v xml:space="preserve">  </v>
      </c>
      <c r="C1087" s="1" t="s">
        <v>807</v>
      </c>
      <c r="D1087" s="1" t="s">
        <v>0</v>
      </c>
      <c r="E1087" s="1" t="s">
        <v>12</v>
      </c>
      <c r="F1087" s="2" t="s">
        <v>0</v>
      </c>
      <c r="G1087" s="3">
        <v>21.48</v>
      </c>
    </row>
    <row r="1088" spans="1:7" x14ac:dyDescent="0.25">
      <c r="A1088" s="2" t="str">
        <f>"00082760"</f>
        <v>00082760</v>
      </c>
      <c r="B1088" s="2" t="str">
        <f t="shared" si="35"/>
        <v xml:space="preserve">  </v>
      </c>
      <c r="C1088" s="1" t="s">
        <v>808</v>
      </c>
      <c r="D1088" s="1" t="s">
        <v>0</v>
      </c>
      <c r="E1088" s="1" t="s">
        <v>12</v>
      </c>
      <c r="F1088" s="2" t="s">
        <v>0</v>
      </c>
      <c r="G1088" s="3">
        <v>11.2</v>
      </c>
    </row>
    <row r="1089" spans="1:7" ht="43.5" x14ac:dyDescent="0.25">
      <c r="A1089" s="2" t="str">
        <f>"00082775"</f>
        <v>00082775</v>
      </c>
      <c r="B1089" s="2" t="str">
        <f t="shared" si="35"/>
        <v xml:space="preserve">  </v>
      </c>
      <c r="C1089" s="1" t="s">
        <v>809</v>
      </c>
      <c r="D1089" s="1" t="s">
        <v>0</v>
      </c>
      <c r="E1089" s="1" t="s">
        <v>12</v>
      </c>
      <c r="F1089" s="2" t="s">
        <v>0</v>
      </c>
      <c r="G1089" s="3">
        <v>21.07</v>
      </c>
    </row>
    <row r="1090" spans="1:7" ht="29.25" x14ac:dyDescent="0.25">
      <c r="A1090" s="2" t="str">
        <f>"00082776"</f>
        <v>00082776</v>
      </c>
      <c r="B1090" s="2" t="str">
        <f t="shared" si="35"/>
        <v xml:space="preserve">  </v>
      </c>
      <c r="C1090" s="1" t="s">
        <v>810</v>
      </c>
      <c r="D1090" s="1" t="s">
        <v>0</v>
      </c>
      <c r="E1090" s="1" t="s">
        <v>12</v>
      </c>
      <c r="F1090" s="2" t="s">
        <v>0</v>
      </c>
      <c r="G1090" s="3">
        <v>11.74</v>
      </c>
    </row>
    <row r="1091" spans="1:7" x14ac:dyDescent="0.25">
      <c r="A1091" s="2" t="str">
        <f>"00082777"</f>
        <v>00082777</v>
      </c>
      <c r="B1091" s="2" t="str">
        <f t="shared" si="35"/>
        <v xml:space="preserve">  </v>
      </c>
      <c r="C1091" s="1" t="s">
        <v>811</v>
      </c>
      <c r="D1091" s="1" t="s">
        <v>0</v>
      </c>
      <c r="E1091" s="1" t="s">
        <v>12</v>
      </c>
      <c r="F1091" s="2" t="s">
        <v>0</v>
      </c>
      <c r="G1091" s="3">
        <v>44.25</v>
      </c>
    </row>
    <row r="1092" spans="1:7" ht="43.5" x14ac:dyDescent="0.25">
      <c r="A1092" s="2" t="str">
        <f>"00082784"</f>
        <v>00082784</v>
      </c>
      <c r="B1092" s="2" t="str">
        <f t="shared" si="35"/>
        <v xml:space="preserve">  </v>
      </c>
      <c r="C1092" s="1" t="s">
        <v>812</v>
      </c>
      <c r="D1092" s="1" t="s">
        <v>0</v>
      </c>
      <c r="E1092" s="1" t="s">
        <v>12</v>
      </c>
      <c r="F1092" s="2" t="s">
        <v>0</v>
      </c>
      <c r="G1092" s="3">
        <v>9.3000000000000007</v>
      </c>
    </row>
    <row r="1093" spans="1:7" ht="29.25" x14ac:dyDescent="0.25">
      <c r="A1093" s="2" t="str">
        <f>"00082785"</f>
        <v>00082785</v>
      </c>
      <c r="B1093" s="2" t="str">
        <f t="shared" si="35"/>
        <v xml:space="preserve">  </v>
      </c>
      <c r="C1093" s="1" t="s">
        <v>813</v>
      </c>
      <c r="D1093" s="1" t="s">
        <v>0</v>
      </c>
      <c r="E1093" s="1" t="s">
        <v>12</v>
      </c>
      <c r="F1093" s="2" t="s">
        <v>0</v>
      </c>
      <c r="G1093" s="3">
        <v>16.46</v>
      </c>
    </row>
    <row r="1094" spans="1:7" ht="72" x14ac:dyDescent="0.25">
      <c r="A1094" s="2" t="str">
        <f>"00082787"</f>
        <v>00082787</v>
      </c>
      <c r="B1094" s="2" t="str">
        <f t="shared" si="35"/>
        <v xml:space="preserve">  </v>
      </c>
      <c r="C1094" s="1" t="s">
        <v>814</v>
      </c>
      <c r="D1094" s="1" t="s">
        <v>0</v>
      </c>
      <c r="E1094" s="1" t="s">
        <v>12</v>
      </c>
      <c r="F1094" s="2" t="s">
        <v>0</v>
      </c>
      <c r="G1094" s="3">
        <v>8.02</v>
      </c>
    </row>
    <row r="1095" spans="1:7" x14ac:dyDescent="0.25">
      <c r="A1095" s="2" t="str">
        <f>"00082800"</f>
        <v>00082800</v>
      </c>
      <c r="B1095" s="2" t="str">
        <f t="shared" si="35"/>
        <v xml:space="preserve">  </v>
      </c>
      <c r="C1095" s="1" t="s">
        <v>815</v>
      </c>
      <c r="D1095" s="1" t="s">
        <v>0</v>
      </c>
      <c r="E1095" s="1" t="s">
        <v>12</v>
      </c>
      <c r="F1095" s="2" t="s">
        <v>0</v>
      </c>
      <c r="G1095" s="3">
        <v>11</v>
      </c>
    </row>
    <row r="1096" spans="1:7" ht="72" x14ac:dyDescent="0.25">
      <c r="A1096" s="2" t="str">
        <f>"00082803"</f>
        <v>00082803</v>
      </c>
      <c r="B1096" s="2" t="str">
        <f t="shared" si="35"/>
        <v xml:space="preserve">  </v>
      </c>
      <c r="C1096" s="1" t="s">
        <v>816</v>
      </c>
      <c r="D1096" s="1" t="s">
        <v>0</v>
      </c>
      <c r="E1096" s="1" t="s">
        <v>12</v>
      </c>
      <c r="F1096" s="2" t="s">
        <v>0</v>
      </c>
      <c r="G1096" s="3">
        <v>26.07</v>
      </c>
    </row>
    <row r="1097" spans="1:7" ht="43.5" x14ac:dyDescent="0.25">
      <c r="A1097" s="2" t="str">
        <f>"00082805"</f>
        <v>00082805</v>
      </c>
      <c r="B1097" s="2" t="str">
        <f t="shared" si="35"/>
        <v xml:space="preserve">  </v>
      </c>
      <c r="C1097" s="1" t="s">
        <v>817</v>
      </c>
      <c r="D1097" s="1" t="s">
        <v>0</v>
      </c>
      <c r="E1097" s="1" t="s">
        <v>12</v>
      </c>
      <c r="F1097" s="2" t="s">
        <v>0</v>
      </c>
      <c r="G1097" s="3">
        <v>78.77</v>
      </c>
    </row>
    <row r="1098" spans="1:7" ht="72" x14ac:dyDescent="0.25">
      <c r="A1098" s="2" t="str">
        <f>"00082810"</f>
        <v>00082810</v>
      </c>
      <c r="B1098" s="2" t="str">
        <f t="shared" si="35"/>
        <v xml:space="preserve">  </v>
      </c>
      <c r="C1098" s="1" t="s">
        <v>818</v>
      </c>
      <c r="D1098" s="1" t="s">
        <v>0</v>
      </c>
      <c r="E1098" s="1" t="s">
        <v>12</v>
      </c>
      <c r="F1098" s="2" t="s">
        <v>0</v>
      </c>
      <c r="G1098" s="3">
        <v>9.77</v>
      </c>
    </row>
    <row r="1099" spans="1:7" ht="57.75" x14ac:dyDescent="0.25">
      <c r="A1099" s="2" t="str">
        <f>"00082820"</f>
        <v>00082820</v>
      </c>
      <c r="B1099" s="2" t="str">
        <f t="shared" si="35"/>
        <v xml:space="preserve">  </v>
      </c>
      <c r="C1099" s="1" t="s">
        <v>819</v>
      </c>
      <c r="D1099" s="1" t="s">
        <v>0</v>
      </c>
      <c r="E1099" s="1" t="s">
        <v>12</v>
      </c>
      <c r="F1099" s="2" t="s">
        <v>0</v>
      </c>
      <c r="G1099" s="3">
        <v>13.34</v>
      </c>
    </row>
    <row r="1100" spans="1:7" ht="57.75" x14ac:dyDescent="0.25">
      <c r="A1100" s="2" t="str">
        <f>"00082930"</f>
        <v>00082930</v>
      </c>
      <c r="B1100" s="2" t="str">
        <f t="shared" si="35"/>
        <v xml:space="preserve">  </v>
      </c>
      <c r="C1100" s="1" t="s">
        <v>820</v>
      </c>
      <c r="D1100" s="1" t="s">
        <v>0</v>
      </c>
      <c r="E1100" s="1" t="s">
        <v>12</v>
      </c>
      <c r="F1100" s="2" t="s">
        <v>0</v>
      </c>
      <c r="G1100" s="3">
        <v>6.71</v>
      </c>
    </row>
    <row r="1101" spans="1:7" ht="29.25" x14ac:dyDescent="0.25">
      <c r="A1101" s="2" t="str">
        <f>"00082938"</f>
        <v>00082938</v>
      </c>
      <c r="B1101" s="2" t="str">
        <f t="shared" si="35"/>
        <v xml:space="preserve">  </v>
      </c>
      <c r="C1101" s="1" t="s">
        <v>821</v>
      </c>
      <c r="D1101" s="1" t="s">
        <v>0</v>
      </c>
      <c r="E1101" s="1" t="s">
        <v>12</v>
      </c>
      <c r="F1101" s="2" t="s">
        <v>0</v>
      </c>
      <c r="G1101" s="3">
        <v>17.690000000000001</v>
      </c>
    </row>
    <row r="1102" spans="1:7" x14ac:dyDescent="0.25">
      <c r="A1102" s="2" t="str">
        <f>"00082941"</f>
        <v>00082941</v>
      </c>
      <c r="B1102" s="2" t="str">
        <f t="shared" si="35"/>
        <v xml:space="preserve">  </v>
      </c>
      <c r="C1102" s="1" t="s">
        <v>822</v>
      </c>
      <c r="D1102" s="1" t="s">
        <v>0</v>
      </c>
      <c r="E1102" s="1" t="s">
        <v>12</v>
      </c>
      <c r="F1102" s="2" t="s">
        <v>0</v>
      </c>
      <c r="G1102" s="3">
        <v>17.63</v>
      </c>
    </row>
    <row r="1103" spans="1:7" x14ac:dyDescent="0.25">
      <c r="A1103" s="2" t="str">
        <f>"00082943"</f>
        <v>00082943</v>
      </c>
      <c r="B1103" s="2" t="str">
        <f t="shared" si="35"/>
        <v xml:space="preserve">  </v>
      </c>
      <c r="C1103" s="1" t="s">
        <v>823</v>
      </c>
      <c r="D1103" s="1" t="s">
        <v>0</v>
      </c>
      <c r="E1103" s="1" t="s">
        <v>12</v>
      </c>
      <c r="F1103" s="2" t="s">
        <v>0</v>
      </c>
      <c r="G1103" s="3">
        <v>14.29</v>
      </c>
    </row>
    <row r="1104" spans="1:7" ht="29.25" x14ac:dyDescent="0.25">
      <c r="A1104" s="2" t="str">
        <f>"00082945"</f>
        <v>00082945</v>
      </c>
      <c r="B1104" s="2" t="str">
        <f t="shared" si="35"/>
        <v xml:space="preserve">  </v>
      </c>
      <c r="C1104" s="1" t="s">
        <v>824</v>
      </c>
      <c r="D1104" s="1" t="s">
        <v>0</v>
      </c>
      <c r="E1104" s="1" t="s">
        <v>12</v>
      </c>
      <c r="F1104" s="2" t="s">
        <v>0</v>
      </c>
      <c r="G1104" s="3">
        <v>3.93</v>
      </c>
    </row>
    <row r="1105" spans="1:7" ht="29.25" x14ac:dyDescent="0.25">
      <c r="A1105" s="2" t="str">
        <f>"00082946"</f>
        <v>00082946</v>
      </c>
      <c r="B1105" s="2" t="str">
        <f t="shared" si="35"/>
        <v xml:space="preserve">  </v>
      </c>
      <c r="C1105" s="1" t="s">
        <v>825</v>
      </c>
      <c r="D1105" s="1" t="s">
        <v>0</v>
      </c>
      <c r="E1105" s="1" t="s">
        <v>12</v>
      </c>
      <c r="F1105" s="2" t="s">
        <v>0</v>
      </c>
      <c r="G1105" s="3">
        <v>17.77</v>
      </c>
    </row>
    <row r="1106" spans="1:7" ht="43.5" x14ac:dyDescent="0.25">
      <c r="A1106" s="2" t="str">
        <f>"00082947"</f>
        <v>00082947</v>
      </c>
      <c r="B1106" s="2" t="str">
        <f t="shared" si="35"/>
        <v xml:space="preserve">  </v>
      </c>
      <c r="C1106" s="1" t="s">
        <v>826</v>
      </c>
      <c r="D1106" s="1" t="s">
        <v>0</v>
      </c>
      <c r="E1106" s="1" t="s">
        <v>12</v>
      </c>
      <c r="F1106" s="2" t="s">
        <v>0</v>
      </c>
      <c r="G1106" s="3">
        <v>3.93</v>
      </c>
    </row>
    <row r="1107" spans="1:7" ht="43.5" x14ac:dyDescent="0.25">
      <c r="A1107" s="2" t="str">
        <f>"00082947"</f>
        <v>00082947</v>
      </c>
      <c r="B1107" s="2" t="str">
        <f>"QW"</f>
        <v>QW</v>
      </c>
      <c r="C1107" s="1" t="s">
        <v>826</v>
      </c>
      <c r="D1107" s="1" t="s">
        <v>0</v>
      </c>
      <c r="E1107" s="1" t="s">
        <v>12</v>
      </c>
      <c r="F1107" s="2" t="s">
        <v>0</v>
      </c>
      <c r="G1107" s="3">
        <v>3.93</v>
      </c>
    </row>
    <row r="1108" spans="1:7" ht="43.5" x14ac:dyDescent="0.25">
      <c r="A1108" s="2" t="str">
        <f>"00082948"</f>
        <v>00082948</v>
      </c>
      <c r="B1108" s="2" t="str">
        <f>"  "</f>
        <v xml:space="preserve">  </v>
      </c>
      <c r="C1108" s="1" t="s">
        <v>827</v>
      </c>
      <c r="D1108" s="1" t="s">
        <v>0</v>
      </c>
      <c r="E1108" s="1" t="s">
        <v>12</v>
      </c>
      <c r="F1108" s="2" t="s">
        <v>0</v>
      </c>
      <c r="G1108" s="3">
        <v>5.04</v>
      </c>
    </row>
    <row r="1109" spans="1:7" ht="29.25" x14ac:dyDescent="0.25">
      <c r="A1109" s="2" t="str">
        <f>"00082950"</f>
        <v>00082950</v>
      </c>
      <c r="B1109" s="2" t="str">
        <f>"  "</f>
        <v xml:space="preserve">  </v>
      </c>
      <c r="C1109" s="1" t="s">
        <v>828</v>
      </c>
      <c r="D1109" s="1" t="s">
        <v>0</v>
      </c>
      <c r="E1109" s="1" t="s">
        <v>12</v>
      </c>
      <c r="F1109" s="2" t="s">
        <v>0</v>
      </c>
      <c r="G1109" s="3">
        <v>4.75</v>
      </c>
    </row>
    <row r="1110" spans="1:7" ht="29.25" x14ac:dyDescent="0.25">
      <c r="A1110" s="2" t="str">
        <f>"00082950"</f>
        <v>00082950</v>
      </c>
      <c r="B1110" s="2" t="str">
        <f>"QW"</f>
        <v>QW</v>
      </c>
      <c r="C1110" s="1" t="s">
        <v>829</v>
      </c>
      <c r="D1110" s="1" t="s">
        <v>0</v>
      </c>
      <c r="E1110" s="1" t="s">
        <v>12</v>
      </c>
      <c r="F1110" s="2" t="s">
        <v>0</v>
      </c>
      <c r="G1110" s="3">
        <v>4.75</v>
      </c>
    </row>
    <row r="1111" spans="1:7" ht="43.5" x14ac:dyDescent="0.25">
      <c r="A1111" s="2" t="str">
        <f>"00082951"</f>
        <v>00082951</v>
      </c>
      <c r="B1111" s="2" t="str">
        <f>"  "</f>
        <v xml:space="preserve">  </v>
      </c>
      <c r="C1111" s="1" t="s">
        <v>830</v>
      </c>
      <c r="D1111" s="1" t="s">
        <v>0</v>
      </c>
      <c r="E1111" s="1" t="s">
        <v>12</v>
      </c>
      <c r="F1111" s="2" t="s">
        <v>0</v>
      </c>
      <c r="G1111" s="3">
        <v>12.87</v>
      </c>
    </row>
    <row r="1112" spans="1:7" ht="43.5" x14ac:dyDescent="0.25">
      <c r="A1112" s="2" t="str">
        <f>"00082951"</f>
        <v>00082951</v>
      </c>
      <c r="B1112" s="2" t="str">
        <f>"QW"</f>
        <v>QW</v>
      </c>
      <c r="C1112" s="1" t="s">
        <v>831</v>
      </c>
      <c r="D1112" s="1" t="s">
        <v>0</v>
      </c>
      <c r="E1112" s="1" t="s">
        <v>12</v>
      </c>
      <c r="F1112" s="2" t="s">
        <v>0</v>
      </c>
      <c r="G1112" s="3">
        <v>12.87</v>
      </c>
    </row>
    <row r="1113" spans="1:7" ht="43.5" x14ac:dyDescent="0.25">
      <c r="A1113" s="2" t="str">
        <f>"00082952"</f>
        <v>00082952</v>
      </c>
      <c r="B1113" s="2" t="str">
        <f>"  "</f>
        <v xml:space="preserve">  </v>
      </c>
      <c r="C1113" s="1" t="s">
        <v>832</v>
      </c>
      <c r="D1113" s="1" t="s">
        <v>0</v>
      </c>
      <c r="E1113" s="1" t="s">
        <v>12</v>
      </c>
      <c r="F1113" s="2" t="s">
        <v>0</v>
      </c>
      <c r="G1113" s="3">
        <v>3.92</v>
      </c>
    </row>
    <row r="1114" spans="1:7" ht="43.5" x14ac:dyDescent="0.25">
      <c r="A1114" s="2" t="str">
        <f>"00082952"</f>
        <v>00082952</v>
      </c>
      <c r="B1114" s="2" t="str">
        <f>"QW"</f>
        <v>QW</v>
      </c>
      <c r="C1114" s="1" t="s">
        <v>832</v>
      </c>
      <c r="D1114" s="1" t="s">
        <v>0</v>
      </c>
      <c r="E1114" s="1" t="s">
        <v>12</v>
      </c>
      <c r="F1114" s="2" t="s">
        <v>0</v>
      </c>
      <c r="G1114" s="3">
        <v>3.92</v>
      </c>
    </row>
    <row r="1115" spans="1:7" ht="43.5" x14ac:dyDescent="0.25">
      <c r="A1115" s="2" t="str">
        <f>"00082955"</f>
        <v>00082955</v>
      </c>
      <c r="B1115" s="2" t="str">
        <f t="shared" ref="B1115:B1120" si="36">"  "</f>
        <v xml:space="preserve">  </v>
      </c>
      <c r="C1115" s="1" t="s">
        <v>833</v>
      </c>
      <c r="D1115" s="1" t="s">
        <v>0</v>
      </c>
      <c r="E1115" s="1" t="s">
        <v>12</v>
      </c>
      <c r="F1115" s="2" t="s">
        <v>0</v>
      </c>
      <c r="G1115" s="3">
        <v>9.6999999999999993</v>
      </c>
    </row>
    <row r="1116" spans="1:7" x14ac:dyDescent="0.25">
      <c r="A1116" s="2" t="str">
        <f>"00082960"</f>
        <v>00082960</v>
      </c>
      <c r="B1116" s="2" t="str">
        <f t="shared" si="36"/>
        <v xml:space="preserve">  </v>
      </c>
      <c r="C1116" s="1" t="s">
        <v>834</v>
      </c>
      <c r="D1116" s="1" t="s">
        <v>0</v>
      </c>
      <c r="E1116" s="1" t="s">
        <v>12</v>
      </c>
      <c r="F1116" s="2" t="s">
        <v>0</v>
      </c>
      <c r="G1116" s="3">
        <v>6.05</v>
      </c>
    </row>
    <row r="1117" spans="1:7" ht="72" x14ac:dyDescent="0.25">
      <c r="A1117" s="2" t="str">
        <f>"00082962"</f>
        <v>00082962</v>
      </c>
      <c r="B1117" s="2" t="str">
        <f t="shared" si="36"/>
        <v xml:space="preserve">  </v>
      </c>
      <c r="C1117" s="1" t="s">
        <v>835</v>
      </c>
      <c r="D1117" s="1" t="s">
        <v>0</v>
      </c>
      <c r="E1117" s="1" t="s">
        <v>12</v>
      </c>
      <c r="F1117" s="2" t="s">
        <v>0</v>
      </c>
      <c r="G1117" s="3">
        <v>3.28</v>
      </c>
    </row>
    <row r="1118" spans="1:7" x14ac:dyDescent="0.25">
      <c r="A1118" s="2" t="str">
        <f>"00082963"</f>
        <v>00082963</v>
      </c>
      <c r="B1118" s="2" t="str">
        <f t="shared" si="36"/>
        <v xml:space="preserve">  </v>
      </c>
      <c r="C1118" s="1" t="s">
        <v>836</v>
      </c>
      <c r="D1118" s="1" t="s">
        <v>0</v>
      </c>
      <c r="E1118" s="1" t="s">
        <v>12</v>
      </c>
      <c r="F1118" s="2" t="s">
        <v>0</v>
      </c>
      <c r="G1118" s="3">
        <v>21.48</v>
      </c>
    </row>
    <row r="1119" spans="1:7" ht="29.25" x14ac:dyDescent="0.25">
      <c r="A1119" s="2" t="str">
        <f>"00082965"</f>
        <v>00082965</v>
      </c>
      <c r="B1119" s="2" t="str">
        <f t="shared" si="36"/>
        <v xml:space="preserve">  </v>
      </c>
      <c r="C1119" s="1" t="s">
        <v>837</v>
      </c>
      <c r="D1119" s="1" t="s">
        <v>0</v>
      </c>
      <c r="E1119" s="1" t="s">
        <v>12</v>
      </c>
      <c r="F1119" s="2" t="s">
        <v>0</v>
      </c>
      <c r="G1119" s="3">
        <v>13.15</v>
      </c>
    </row>
    <row r="1120" spans="1:7" ht="29.25" x14ac:dyDescent="0.25">
      <c r="A1120" s="2" t="str">
        <f>"00082977"</f>
        <v>00082977</v>
      </c>
      <c r="B1120" s="2" t="str">
        <f t="shared" si="36"/>
        <v xml:space="preserve">  </v>
      </c>
      <c r="C1120" s="1" t="s">
        <v>838</v>
      </c>
      <c r="D1120" s="1" t="s">
        <v>0</v>
      </c>
      <c r="E1120" s="1" t="s">
        <v>12</v>
      </c>
      <c r="F1120" s="2" t="s">
        <v>0</v>
      </c>
      <c r="G1120" s="3">
        <v>7.2</v>
      </c>
    </row>
    <row r="1121" spans="1:7" ht="57.75" x14ac:dyDescent="0.25">
      <c r="A1121" s="2" t="str">
        <f>"00082977"</f>
        <v>00082977</v>
      </c>
      <c r="B1121" s="2" t="str">
        <f>"QW"</f>
        <v>QW</v>
      </c>
      <c r="C1121" s="1" t="s">
        <v>839</v>
      </c>
      <c r="D1121" s="1" t="s">
        <v>0</v>
      </c>
      <c r="E1121" s="1" t="s">
        <v>12</v>
      </c>
      <c r="F1121" s="2" t="s">
        <v>0</v>
      </c>
      <c r="G1121" s="3">
        <v>7.2</v>
      </c>
    </row>
    <row r="1122" spans="1:7" x14ac:dyDescent="0.25">
      <c r="A1122" s="2" t="str">
        <f>"00082978"</f>
        <v>00082978</v>
      </c>
      <c r="B1122" s="2" t="str">
        <f>"  "</f>
        <v xml:space="preserve">  </v>
      </c>
      <c r="C1122" s="1" t="s">
        <v>840</v>
      </c>
      <c r="D1122" s="1" t="s">
        <v>0</v>
      </c>
      <c r="E1122" s="1" t="s">
        <v>12</v>
      </c>
      <c r="F1122" s="2" t="s">
        <v>0</v>
      </c>
      <c r="G1122" s="3">
        <v>15.45</v>
      </c>
    </row>
    <row r="1123" spans="1:7" ht="29.25" x14ac:dyDescent="0.25">
      <c r="A1123" s="2" t="str">
        <f>"00082979"</f>
        <v>00082979</v>
      </c>
      <c r="B1123" s="2" t="str">
        <f>"  "</f>
        <v xml:space="preserve">  </v>
      </c>
      <c r="C1123" s="1" t="s">
        <v>841</v>
      </c>
      <c r="D1123" s="1" t="s">
        <v>0</v>
      </c>
      <c r="E1123" s="1" t="s">
        <v>12</v>
      </c>
      <c r="F1123" s="2" t="s">
        <v>0</v>
      </c>
      <c r="G1123" s="3">
        <v>9.44</v>
      </c>
    </row>
    <row r="1124" spans="1:7" x14ac:dyDescent="0.25">
      <c r="A1124" s="2" t="str">
        <f>"00082985"</f>
        <v>00082985</v>
      </c>
      <c r="B1124" s="2" t="str">
        <f>"  "</f>
        <v xml:space="preserve">  </v>
      </c>
      <c r="C1124" s="1" t="s">
        <v>842</v>
      </c>
      <c r="D1124" s="1" t="s">
        <v>0</v>
      </c>
      <c r="E1124" s="1" t="s">
        <v>12</v>
      </c>
      <c r="F1124" s="2" t="s">
        <v>0</v>
      </c>
      <c r="G1124" s="3">
        <v>16.760000000000002</v>
      </c>
    </row>
    <row r="1125" spans="1:7" ht="43.5" x14ac:dyDescent="0.25">
      <c r="A1125" s="2" t="str">
        <f>"00082985"</f>
        <v>00082985</v>
      </c>
      <c r="B1125" s="2" t="str">
        <f>"QW"</f>
        <v>QW</v>
      </c>
      <c r="C1125" s="1" t="s">
        <v>843</v>
      </c>
      <c r="D1125" s="1" t="s">
        <v>0</v>
      </c>
      <c r="E1125" s="1" t="s">
        <v>12</v>
      </c>
      <c r="F1125" s="2" t="s">
        <v>0</v>
      </c>
      <c r="G1125" s="3">
        <v>16.760000000000002</v>
      </c>
    </row>
    <row r="1126" spans="1:7" ht="43.5" x14ac:dyDescent="0.25">
      <c r="A1126" s="2" t="str">
        <f>"00083001"</f>
        <v>00083001</v>
      </c>
      <c r="B1126" s="2" t="str">
        <f>"  "</f>
        <v xml:space="preserve">  </v>
      </c>
      <c r="C1126" s="1" t="s">
        <v>844</v>
      </c>
      <c r="D1126" s="1" t="s">
        <v>0</v>
      </c>
      <c r="E1126" s="1" t="s">
        <v>12</v>
      </c>
      <c r="F1126" s="2" t="s">
        <v>0</v>
      </c>
      <c r="G1126" s="3">
        <v>18.579999999999998</v>
      </c>
    </row>
    <row r="1127" spans="1:7" ht="43.5" x14ac:dyDescent="0.25">
      <c r="A1127" s="2" t="str">
        <f>"00083001"</f>
        <v>00083001</v>
      </c>
      <c r="B1127" s="2" t="str">
        <f>"QW"</f>
        <v>QW</v>
      </c>
      <c r="C1127" s="1" t="s">
        <v>845</v>
      </c>
      <c r="D1127" s="1" t="s">
        <v>0</v>
      </c>
      <c r="E1127" s="1" t="s">
        <v>12</v>
      </c>
      <c r="F1127" s="2" t="s">
        <v>0</v>
      </c>
      <c r="G1127" s="3">
        <v>18.579999999999998</v>
      </c>
    </row>
    <row r="1128" spans="1:7" ht="29.25" x14ac:dyDescent="0.25">
      <c r="A1128" s="2" t="str">
        <f>"00083002"</f>
        <v>00083002</v>
      </c>
      <c r="B1128" s="2" t="str">
        <f>"  "</f>
        <v xml:space="preserve">  </v>
      </c>
      <c r="C1128" s="1" t="s">
        <v>846</v>
      </c>
      <c r="D1128" s="1" t="s">
        <v>0</v>
      </c>
      <c r="E1128" s="1" t="s">
        <v>12</v>
      </c>
      <c r="F1128" s="2" t="s">
        <v>0</v>
      </c>
      <c r="G1128" s="3">
        <v>18.52</v>
      </c>
    </row>
    <row r="1129" spans="1:7" ht="29.25" x14ac:dyDescent="0.25">
      <c r="A1129" s="2" t="str">
        <f>"00083002"</f>
        <v>00083002</v>
      </c>
      <c r="B1129" s="2" t="str">
        <f>"QW"</f>
        <v>QW</v>
      </c>
      <c r="C1129" s="1" t="s">
        <v>847</v>
      </c>
      <c r="D1129" s="1" t="s">
        <v>0</v>
      </c>
      <c r="E1129" s="1" t="s">
        <v>12</v>
      </c>
      <c r="F1129" s="2" t="s">
        <v>0</v>
      </c>
      <c r="G1129" s="3">
        <v>18.52</v>
      </c>
    </row>
    <row r="1130" spans="1:7" ht="43.5" x14ac:dyDescent="0.25">
      <c r="A1130" s="2" t="str">
        <f>"00083003"</f>
        <v>00083003</v>
      </c>
      <c r="B1130" s="2" t="str">
        <f t="shared" ref="B1130:B1144" si="37">"  "</f>
        <v xml:space="preserve">  </v>
      </c>
      <c r="C1130" s="1" t="s">
        <v>848</v>
      </c>
      <c r="D1130" s="1" t="s">
        <v>0</v>
      </c>
      <c r="E1130" s="1" t="s">
        <v>12</v>
      </c>
      <c r="F1130" s="2" t="s">
        <v>0</v>
      </c>
      <c r="G1130" s="3">
        <v>16.670000000000002</v>
      </c>
    </row>
    <row r="1131" spans="1:7" ht="43.5" x14ac:dyDescent="0.25">
      <c r="A1131" s="2" t="str">
        <f>"00083006"</f>
        <v>00083006</v>
      </c>
      <c r="B1131" s="2" t="str">
        <f t="shared" si="37"/>
        <v xml:space="preserve">  </v>
      </c>
      <c r="C1131" s="1" t="s">
        <v>849</v>
      </c>
      <c r="D1131" s="1" t="s">
        <v>0</v>
      </c>
      <c r="E1131" s="1" t="s">
        <v>12</v>
      </c>
      <c r="F1131" s="2" t="s">
        <v>0</v>
      </c>
      <c r="G1131" s="3">
        <v>75.599999999999994</v>
      </c>
    </row>
    <row r="1132" spans="1:7" ht="72" x14ac:dyDescent="0.25">
      <c r="A1132" s="2" t="str">
        <f>"00083009"</f>
        <v>00083009</v>
      </c>
      <c r="B1132" s="2" t="str">
        <f t="shared" si="37"/>
        <v xml:space="preserve">  </v>
      </c>
      <c r="C1132" s="1" t="s">
        <v>1777</v>
      </c>
      <c r="D1132" s="1" t="s">
        <v>0</v>
      </c>
      <c r="E1132" s="1" t="s">
        <v>12</v>
      </c>
      <c r="F1132" s="2" t="s">
        <v>0</v>
      </c>
      <c r="G1132" s="3">
        <v>67.36</v>
      </c>
    </row>
    <row r="1133" spans="1:7" ht="29.25" x14ac:dyDescent="0.25">
      <c r="A1133" s="2" t="str">
        <f>"00083010"</f>
        <v>00083010</v>
      </c>
      <c r="B1133" s="2" t="str">
        <f t="shared" si="37"/>
        <v xml:space="preserve">  </v>
      </c>
      <c r="C1133" s="1" t="s">
        <v>850</v>
      </c>
      <c r="D1133" s="1" t="s">
        <v>0</v>
      </c>
      <c r="E1133" s="1" t="s">
        <v>12</v>
      </c>
      <c r="F1133" s="2" t="s">
        <v>0</v>
      </c>
      <c r="G1133" s="3">
        <v>12.58</v>
      </c>
    </row>
    <row r="1134" spans="1:7" x14ac:dyDescent="0.25">
      <c r="A1134" s="2" t="str">
        <f>"00083012"</f>
        <v>00083012</v>
      </c>
      <c r="B1134" s="2" t="str">
        <f t="shared" si="37"/>
        <v xml:space="preserve">  </v>
      </c>
      <c r="C1134" s="1" t="s">
        <v>851</v>
      </c>
      <c r="D1134" s="1" t="s">
        <v>0</v>
      </c>
      <c r="E1134" s="1" t="s">
        <v>12</v>
      </c>
      <c r="F1134" s="2" t="s">
        <v>0</v>
      </c>
      <c r="G1134" s="3">
        <v>26.89</v>
      </c>
    </row>
    <row r="1135" spans="1:7" ht="72" x14ac:dyDescent="0.25">
      <c r="A1135" s="2" t="str">
        <f>"00083013"</f>
        <v>00083013</v>
      </c>
      <c r="B1135" s="2" t="str">
        <f t="shared" si="37"/>
        <v xml:space="preserve">  </v>
      </c>
      <c r="C1135" s="1" t="s">
        <v>852</v>
      </c>
      <c r="D1135" s="1" t="s">
        <v>0</v>
      </c>
      <c r="E1135" s="1" t="s">
        <v>12</v>
      </c>
      <c r="F1135" s="2" t="s">
        <v>0</v>
      </c>
      <c r="G1135" s="3">
        <v>67.36</v>
      </c>
    </row>
    <row r="1136" spans="1:7" ht="29.25" x14ac:dyDescent="0.25">
      <c r="A1136" s="2" t="str">
        <f>"00083014"</f>
        <v>00083014</v>
      </c>
      <c r="B1136" s="2" t="str">
        <f t="shared" si="37"/>
        <v xml:space="preserve">  </v>
      </c>
      <c r="C1136" s="1" t="s">
        <v>853</v>
      </c>
      <c r="D1136" s="1" t="s">
        <v>0</v>
      </c>
      <c r="E1136" s="1" t="s">
        <v>12</v>
      </c>
      <c r="F1136" s="2" t="s">
        <v>0</v>
      </c>
      <c r="G1136" s="3">
        <v>7.86</v>
      </c>
    </row>
    <row r="1137" spans="1:7" ht="57.75" x14ac:dyDescent="0.25">
      <c r="A1137" s="2" t="str">
        <f>"00083015"</f>
        <v>00083015</v>
      </c>
      <c r="B1137" s="2" t="str">
        <f t="shared" si="37"/>
        <v xml:space="preserve">  </v>
      </c>
      <c r="C1137" s="1" t="s">
        <v>854</v>
      </c>
      <c r="D1137" s="1" t="s">
        <v>0</v>
      </c>
      <c r="E1137" s="1" t="s">
        <v>12</v>
      </c>
      <c r="F1137" s="2" t="s">
        <v>0</v>
      </c>
      <c r="G1137" s="3">
        <v>20.94</v>
      </c>
    </row>
    <row r="1138" spans="1:7" ht="29.25" x14ac:dyDescent="0.25">
      <c r="A1138" s="2" t="str">
        <f>"00083018"</f>
        <v>00083018</v>
      </c>
      <c r="B1138" s="2" t="str">
        <f t="shared" si="37"/>
        <v xml:space="preserve">  </v>
      </c>
      <c r="C1138" s="1" t="s">
        <v>855</v>
      </c>
      <c r="D1138" s="1" t="s">
        <v>0</v>
      </c>
      <c r="E1138" s="1" t="s">
        <v>12</v>
      </c>
      <c r="F1138" s="2" t="s">
        <v>0</v>
      </c>
      <c r="G1138" s="3">
        <v>21.96</v>
      </c>
    </row>
    <row r="1139" spans="1:7" ht="43.5" x14ac:dyDescent="0.25">
      <c r="A1139" s="2" t="str">
        <f>"00083020"</f>
        <v>00083020</v>
      </c>
      <c r="B1139" s="2" t="str">
        <f t="shared" si="37"/>
        <v xml:space="preserve">  </v>
      </c>
      <c r="C1139" s="1" t="s">
        <v>856</v>
      </c>
      <c r="D1139" s="1" t="s">
        <v>0</v>
      </c>
      <c r="E1139" s="1" t="s">
        <v>12</v>
      </c>
      <c r="F1139" s="2" t="s">
        <v>0</v>
      </c>
      <c r="G1139" s="3">
        <v>12.87</v>
      </c>
    </row>
    <row r="1140" spans="1:7" ht="29.25" x14ac:dyDescent="0.25">
      <c r="A1140" s="2" t="str">
        <f>"00083021"</f>
        <v>00083021</v>
      </c>
      <c r="B1140" s="2" t="str">
        <f t="shared" si="37"/>
        <v xml:space="preserve">  </v>
      </c>
      <c r="C1140" s="1" t="s">
        <v>857</v>
      </c>
      <c r="D1140" s="1" t="s">
        <v>0</v>
      </c>
      <c r="E1140" s="1" t="s">
        <v>12</v>
      </c>
      <c r="F1140" s="2" t="s">
        <v>0</v>
      </c>
      <c r="G1140" s="3">
        <v>18.059999999999999</v>
      </c>
    </row>
    <row r="1141" spans="1:7" ht="72" x14ac:dyDescent="0.25">
      <c r="A1141" s="2" t="str">
        <f>"00083026"</f>
        <v>00083026</v>
      </c>
      <c r="B1141" s="2" t="str">
        <f t="shared" si="37"/>
        <v xml:space="preserve">  </v>
      </c>
      <c r="C1141" s="1" t="s">
        <v>858</v>
      </c>
      <c r="D1141" s="1" t="s">
        <v>0</v>
      </c>
      <c r="E1141" s="1" t="s">
        <v>12</v>
      </c>
      <c r="F1141" s="2" t="s">
        <v>0</v>
      </c>
      <c r="G1141" s="3">
        <v>4.01</v>
      </c>
    </row>
    <row r="1142" spans="1:7" ht="29.25" x14ac:dyDescent="0.25">
      <c r="A1142" s="2" t="str">
        <f>"00083030"</f>
        <v>00083030</v>
      </c>
      <c r="B1142" s="2" t="str">
        <f t="shared" si="37"/>
        <v xml:space="preserve">  </v>
      </c>
      <c r="C1142" s="1" t="s">
        <v>859</v>
      </c>
      <c r="D1142" s="1" t="s">
        <v>0</v>
      </c>
      <c r="E1142" s="1" t="s">
        <v>12</v>
      </c>
      <c r="F1142" s="2" t="s">
        <v>0</v>
      </c>
      <c r="G1142" s="3">
        <v>10.74</v>
      </c>
    </row>
    <row r="1143" spans="1:7" ht="29.25" x14ac:dyDescent="0.25">
      <c r="A1143" s="2" t="str">
        <f>"00083033"</f>
        <v>00083033</v>
      </c>
      <c r="B1143" s="2" t="str">
        <f t="shared" si="37"/>
        <v xml:space="preserve">  </v>
      </c>
      <c r="C1143" s="1" t="s">
        <v>860</v>
      </c>
      <c r="D1143" s="1" t="s">
        <v>0</v>
      </c>
      <c r="E1143" s="1" t="s">
        <v>12</v>
      </c>
      <c r="F1143" s="2" t="s">
        <v>0</v>
      </c>
      <c r="G1143" s="3">
        <v>8</v>
      </c>
    </row>
    <row r="1144" spans="1:7" ht="29.25" x14ac:dyDescent="0.25">
      <c r="A1144" s="2" t="str">
        <f>"00083036"</f>
        <v>00083036</v>
      </c>
      <c r="B1144" s="2" t="str">
        <f t="shared" si="37"/>
        <v xml:space="preserve">  </v>
      </c>
      <c r="C1144" s="1" t="s">
        <v>861</v>
      </c>
      <c r="D1144" s="1" t="s">
        <v>0</v>
      </c>
      <c r="E1144" s="1" t="s">
        <v>12</v>
      </c>
      <c r="F1144" s="2" t="s">
        <v>0</v>
      </c>
      <c r="G1144" s="3">
        <v>9.7100000000000009</v>
      </c>
    </row>
    <row r="1145" spans="1:7" ht="29.25" x14ac:dyDescent="0.25">
      <c r="A1145" s="2" t="str">
        <f>"00083036"</f>
        <v>00083036</v>
      </c>
      <c r="B1145" s="2" t="str">
        <f>"QW"</f>
        <v>QW</v>
      </c>
      <c r="C1145" s="1" t="s">
        <v>861</v>
      </c>
      <c r="D1145" s="1" t="s">
        <v>0</v>
      </c>
      <c r="E1145" s="1" t="s">
        <v>12</v>
      </c>
      <c r="F1145" s="2" t="s">
        <v>0</v>
      </c>
      <c r="G1145" s="3">
        <v>9.7100000000000009</v>
      </c>
    </row>
    <row r="1146" spans="1:7" ht="29.25" x14ac:dyDescent="0.25">
      <c r="A1146" s="2" t="str">
        <f>"00083045"</f>
        <v>00083045</v>
      </c>
      <c r="B1146" s="2" t="str">
        <f t="shared" ref="B1146:B1163" si="38">"  "</f>
        <v xml:space="preserve">  </v>
      </c>
      <c r="C1146" s="1" t="s">
        <v>862</v>
      </c>
      <c r="D1146" s="1" t="s">
        <v>0</v>
      </c>
      <c r="E1146" s="1" t="s">
        <v>12</v>
      </c>
      <c r="F1146" s="2" t="s">
        <v>0</v>
      </c>
      <c r="G1146" s="3">
        <v>6.49</v>
      </c>
    </row>
    <row r="1147" spans="1:7" ht="29.25" x14ac:dyDescent="0.25">
      <c r="A1147" s="2" t="str">
        <f>"00083050"</f>
        <v>00083050</v>
      </c>
      <c r="B1147" s="2" t="str">
        <f t="shared" si="38"/>
        <v xml:space="preserve">  </v>
      </c>
      <c r="C1147" s="1" t="s">
        <v>863</v>
      </c>
      <c r="D1147" s="1" t="s">
        <v>0</v>
      </c>
      <c r="E1147" s="1" t="s">
        <v>12</v>
      </c>
      <c r="F1147" s="2" t="s">
        <v>0</v>
      </c>
      <c r="G1147" s="3">
        <v>8.1999999999999993</v>
      </c>
    </row>
    <row r="1148" spans="1:7" x14ac:dyDescent="0.25">
      <c r="A1148" s="2" t="str">
        <f>"00083051"</f>
        <v>00083051</v>
      </c>
      <c r="B1148" s="2" t="str">
        <f t="shared" si="38"/>
        <v xml:space="preserve">  </v>
      </c>
      <c r="C1148" s="1" t="s">
        <v>864</v>
      </c>
      <c r="D1148" s="1" t="s">
        <v>0</v>
      </c>
      <c r="E1148" s="1" t="s">
        <v>12</v>
      </c>
      <c r="F1148" s="2" t="s">
        <v>0</v>
      </c>
      <c r="G1148" s="3">
        <v>7.31</v>
      </c>
    </row>
    <row r="1149" spans="1:7" ht="29.25" x14ac:dyDescent="0.25">
      <c r="A1149" s="2" t="str">
        <f>"00083060"</f>
        <v>00083060</v>
      </c>
      <c r="B1149" s="2" t="str">
        <f t="shared" si="38"/>
        <v xml:space="preserve">  </v>
      </c>
      <c r="C1149" s="1" t="s">
        <v>865</v>
      </c>
      <c r="D1149" s="1" t="s">
        <v>0</v>
      </c>
      <c r="E1149" s="1" t="s">
        <v>12</v>
      </c>
      <c r="F1149" s="2" t="s">
        <v>0</v>
      </c>
      <c r="G1149" s="3">
        <v>8.8000000000000007</v>
      </c>
    </row>
    <row r="1150" spans="1:7" x14ac:dyDescent="0.25">
      <c r="A1150" s="2" t="str">
        <f>"00083065"</f>
        <v>00083065</v>
      </c>
      <c r="B1150" s="2" t="str">
        <f t="shared" si="38"/>
        <v xml:space="preserve">  </v>
      </c>
      <c r="C1150" s="1" t="s">
        <v>866</v>
      </c>
      <c r="D1150" s="1" t="s">
        <v>0</v>
      </c>
      <c r="E1150" s="1" t="s">
        <v>12</v>
      </c>
      <c r="F1150" s="2" t="s">
        <v>0</v>
      </c>
      <c r="G1150" s="3">
        <v>9</v>
      </c>
    </row>
    <row r="1151" spans="1:7" x14ac:dyDescent="0.25">
      <c r="A1151" s="2" t="str">
        <f>"00083068"</f>
        <v>00083068</v>
      </c>
      <c r="B1151" s="2" t="str">
        <f t="shared" si="38"/>
        <v xml:space="preserve">  </v>
      </c>
      <c r="C1151" s="1" t="s">
        <v>867</v>
      </c>
      <c r="D1151" s="1" t="s">
        <v>0</v>
      </c>
      <c r="E1151" s="1" t="s">
        <v>12</v>
      </c>
      <c r="F1151" s="2" t="s">
        <v>0</v>
      </c>
      <c r="G1151" s="3">
        <v>9.4700000000000006</v>
      </c>
    </row>
    <row r="1152" spans="1:7" x14ac:dyDescent="0.25">
      <c r="A1152" s="2" t="str">
        <f>"00083069"</f>
        <v>00083069</v>
      </c>
      <c r="B1152" s="2" t="str">
        <f t="shared" si="38"/>
        <v xml:space="preserve">  </v>
      </c>
      <c r="C1152" s="1" t="s">
        <v>868</v>
      </c>
      <c r="D1152" s="1" t="s">
        <v>0</v>
      </c>
      <c r="E1152" s="1" t="s">
        <v>12</v>
      </c>
      <c r="F1152" s="2" t="s">
        <v>0</v>
      </c>
      <c r="G1152" s="3">
        <v>3.95</v>
      </c>
    </row>
    <row r="1153" spans="1:7" x14ac:dyDescent="0.25">
      <c r="A1153" s="2" t="str">
        <f>"00083070"</f>
        <v>00083070</v>
      </c>
      <c r="B1153" s="2" t="str">
        <f t="shared" si="38"/>
        <v xml:space="preserve">  </v>
      </c>
      <c r="C1153" s="1" t="s">
        <v>869</v>
      </c>
      <c r="D1153" s="1" t="s">
        <v>0</v>
      </c>
      <c r="E1153" s="1" t="s">
        <v>12</v>
      </c>
      <c r="F1153" s="2" t="s">
        <v>0</v>
      </c>
      <c r="G1153" s="3">
        <v>4.75</v>
      </c>
    </row>
    <row r="1154" spans="1:7" ht="29.25" x14ac:dyDescent="0.25">
      <c r="A1154" s="2" t="str">
        <f>"00083080"</f>
        <v>00083080</v>
      </c>
      <c r="B1154" s="2" t="str">
        <f t="shared" si="38"/>
        <v xml:space="preserve">  </v>
      </c>
      <c r="C1154" s="1" t="s">
        <v>857</v>
      </c>
      <c r="D1154" s="1" t="s">
        <v>0</v>
      </c>
      <c r="E1154" s="1" t="s">
        <v>12</v>
      </c>
      <c r="F1154" s="2" t="s">
        <v>0</v>
      </c>
      <c r="G1154" s="3">
        <v>16.87</v>
      </c>
    </row>
    <row r="1155" spans="1:7" x14ac:dyDescent="0.25">
      <c r="A1155" s="2" t="str">
        <f>"00083088"</f>
        <v>00083088</v>
      </c>
      <c r="B1155" s="2" t="str">
        <f t="shared" si="38"/>
        <v xml:space="preserve">  </v>
      </c>
      <c r="C1155" s="1" t="s">
        <v>870</v>
      </c>
      <c r="D1155" s="1" t="s">
        <v>0</v>
      </c>
      <c r="E1155" s="1" t="s">
        <v>12</v>
      </c>
      <c r="F1155" s="2" t="s">
        <v>0</v>
      </c>
      <c r="G1155" s="3">
        <v>29.53</v>
      </c>
    </row>
    <row r="1156" spans="1:7" x14ac:dyDescent="0.25">
      <c r="A1156" s="2" t="str">
        <f>"00083090"</f>
        <v>00083090</v>
      </c>
      <c r="B1156" s="2" t="str">
        <f t="shared" si="38"/>
        <v xml:space="preserve">  </v>
      </c>
      <c r="C1156" s="1" t="s">
        <v>871</v>
      </c>
      <c r="D1156" s="1" t="s">
        <v>0</v>
      </c>
      <c r="E1156" s="1" t="s">
        <v>12</v>
      </c>
      <c r="F1156" s="2" t="s">
        <v>0</v>
      </c>
      <c r="G1156" s="3">
        <v>17.920000000000002</v>
      </c>
    </row>
    <row r="1157" spans="1:7" x14ac:dyDescent="0.25">
      <c r="A1157" s="2" t="str">
        <f>"00083150"</f>
        <v>00083150</v>
      </c>
      <c r="B1157" s="2" t="str">
        <f t="shared" si="38"/>
        <v xml:space="preserve">  </v>
      </c>
      <c r="C1157" s="1" t="s">
        <v>872</v>
      </c>
      <c r="D1157" s="1" t="s">
        <v>0</v>
      </c>
      <c r="E1157" s="1" t="s">
        <v>12</v>
      </c>
      <c r="F1157" s="2" t="s">
        <v>0</v>
      </c>
      <c r="G1157" s="3">
        <v>22.41</v>
      </c>
    </row>
    <row r="1158" spans="1:7" ht="29.25" x14ac:dyDescent="0.25">
      <c r="A1158" s="2" t="str">
        <f>"00083491"</f>
        <v>00083491</v>
      </c>
      <c r="B1158" s="2" t="str">
        <f t="shared" si="38"/>
        <v xml:space="preserve">  </v>
      </c>
      <c r="C1158" s="1" t="s">
        <v>873</v>
      </c>
      <c r="D1158" s="1" t="s">
        <v>0</v>
      </c>
      <c r="E1158" s="1" t="s">
        <v>12</v>
      </c>
      <c r="F1158" s="2" t="s">
        <v>0</v>
      </c>
      <c r="G1158" s="3">
        <v>17.899999999999999</v>
      </c>
    </row>
    <row r="1159" spans="1:7" ht="29.25" x14ac:dyDescent="0.25">
      <c r="A1159" s="2" t="str">
        <f>"00083497"</f>
        <v>00083497</v>
      </c>
      <c r="B1159" s="2" t="str">
        <f t="shared" si="38"/>
        <v xml:space="preserve">  </v>
      </c>
      <c r="C1159" s="1" t="s">
        <v>874</v>
      </c>
      <c r="D1159" s="1" t="s">
        <v>0</v>
      </c>
      <c r="E1159" s="1" t="s">
        <v>12</v>
      </c>
      <c r="F1159" s="2" t="s">
        <v>0</v>
      </c>
      <c r="G1159" s="3">
        <v>12.9</v>
      </c>
    </row>
    <row r="1160" spans="1:7" ht="29.25" x14ac:dyDescent="0.25">
      <c r="A1160" s="2" t="str">
        <f>"00083498"</f>
        <v>00083498</v>
      </c>
      <c r="B1160" s="2" t="str">
        <f t="shared" si="38"/>
        <v xml:space="preserve">  </v>
      </c>
      <c r="C1160" s="1" t="s">
        <v>875</v>
      </c>
      <c r="D1160" s="1" t="s">
        <v>0</v>
      </c>
      <c r="E1160" s="1" t="s">
        <v>12</v>
      </c>
      <c r="F1160" s="2" t="s">
        <v>0</v>
      </c>
      <c r="G1160" s="3">
        <v>27.17</v>
      </c>
    </row>
    <row r="1161" spans="1:7" x14ac:dyDescent="0.25">
      <c r="A1161" s="2" t="str">
        <f>"00083500"</f>
        <v>00083500</v>
      </c>
      <c r="B1161" s="2" t="str">
        <f t="shared" si="38"/>
        <v xml:space="preserve">  </v>
      </c>
      <c r="C1161" s="1" t="s">
        <v>876</v>
      </c>
      <c r="D1161" s="1" t="s">
        <v>0</v>
      </c>
      <c r="E1161" s="1" t="s">
        <v>12</v>
      </c>
      <c r="F1161" s="2" t="s">
        <v>0</v>
      </c>
      <c r="G1161" s="3">
        <v>22.65</v>
      </c>
    </row>
    <row r="1162" spans="1:7" x14ac:dyDescent="0.25">
      <c r="A1162" s="2" t="str">
        <f>"00083505"</f>
        <v>00083505</v>
      </c>
      <c r="B1162" s="2" t="str">
        <f t="shared" si="38"/>
        <v xml:space="preserve">  </v>
      </c>
      <c r="C1162" s="1" t="s">
        <v>877</v>
      </c>
      <c r="D1162" s="1" t="s">
        <v>0</v>
      </c>
      <c r="E1162" s="1" t="s">
        <v>12</v>
      </c>
      <c r="F1162" s="2" t="s">
        <v>0</v>
      </c>
      <c r="G1162" s="3">
        <v>24.3</v>
      </c>
    </row>
    <row r="1163" spans="1:7" ht="114.75" x14ac:dyDescent="0.25">
      <c r="A1163" s="2" t="str">
        <f>"00083516"</f>
        <v>00083516</v>
      </c>
      <c r="B1163" s="2" t="str">
        <f t="shared" si="38"/>
        <v xml:space="preserve">  </v>
      </c>
      <c r="C1163" s="1" t="s">
        <v>878</v>
      </c>
      <c r="D1163" s="1" t="s">
        <v>0</v>
      </c>
      <c r="E1163" s="1" t="s">
        <v>12</v>
      </c>
      <c r="F1163" s="2" t="s">
        <v>0</v>
      </c>
      <c r="G1163" s="3">
        <v>11.53</v>
      </c>
    </row>
    <row r="1164" spans="1:7" ht="114.75" x14ac:dyDescent="0.25">
      <c r="A1164" s="2" t="str">
        <f>"00083516"</f>
        <v>00083516</v>
      </c>
      <c r="B1164" s="2" t="str">
        <f>"QW"</f>
        <v>QW</v>
      </c>
      <c r="C1164" s="1" t="s">
        <v>878</v>
      </c>
      <c r="D1164" s="1" t="s">
        <v>0</v>
      </c>
      <c r="E1164" s="1" t="s">
        <v>12</v>
      </c>
      <c r="F1164" s="2" t="s">
        <v>0</v>
      </c>
      <c r="G1164" s="3">
        <v>11.53</v>
      </c>
    </row>
    <row r="1165" spans="1:7" ht="114.75" x14ac:dyDescent="0.25">
      <c r="A1165" s="2" t="str">
        <f>"00083518"</f>
        <v>00083518</v>
      </c>
      <c r="B1165" s="2" t="str">
        <f>"  "</f>
        <v xml:space="preserve">  </v>
      </c>
      <c r="C1165" s="1" t="s">
        <v>879</v>
      </c>
      <c r="D1165" s="1" t="s">
        <v>0</v>
      </c>
      <c r="E1165" s="1" t="s">
        <v>12</v>
      </c>
      <c r="F1165" s="2" t="s">
        <v>0</v>
      </c>
      <c r="G1165" s="3">
        <v>9.64</v>
      </c>
    </row>
    <row r="1166" spans="1:7" ht="114.75" x14ac:dyDescent="0.25">
      <c r="A1166" s="2" t="str">
        <f>"00083518"</f>
        <v>00083518</v>
      </c>
      <c r="B1166" s="2" t="str">
        <f>"QW"</f>
        <v>QW</v>
      </c>
      <c r="C1166" s="1" t="s">
        <v>880</v>
      </c>
      <c r="D1166" s="1" t="s">
        <v>0</v>
      </c>
      <c r="E1166" s="1" t="s">
        <v>12</v>
      </c>
      <c r="F1166" s="2" t="s">
        <v>0</v>
      </c>
      <c r="G1166" s="3">
        <v>9.64</v>
      </c>
    </row>
    <row r="1167" spans="1:7" ht="114.75" x14ac:dyDescent="0.25">
      <c r="A1167" s="2" t="str">
        <f>"00083519"</f>
        <v>00083519</v>
      </c>
      <c r="B1167" s="2" t="str">
        <f>"  "</f>
        <v xml:space="preserve">  </v>
      </c>
      <c r="C1167" s="1" t="s">
        <v>881</v>
      </c>
      <c r="D1167" s="1" t="s">
        <v>0</v>
      </c>
      <c r="E1167" s="1" t="s">
        <v>12</v>
      </c>
      <c r="F1167" s="2" t="s">
        <v>0</v>
      </c>
      <c r="G1167" s="3">
        <v>18.399999999999999</v>
      </c>
    </row>
    <row r="1168" spans="1:7" ht="100.5" x14ac:dyDescent="0.25">
      <c r="A1168" s="2" t="str">
        <f>"00083520"</f>
        <v>00083520</v>
      </c>
      <c r="B1168" s="2" t="str">
        <f>"  "</f>
        <v xml:space="preserve">  </v>
      </c>
      <c r="C1168" s="1" t="s">
        <v>882</v>
      </c>
      <c r="D1168" s="1" t="s">
        <v>0</v>
      </c>
      <c r="E1168" s="1" t="s">
        <v>12</v>
      </c>
      <c r="F1168" s="2" t="s">
        <v>0</v>
      </c>
      <c r="G1168" s="3">
        <v>17.27</v>
      </c>
    </row>
    <row r="1169" spans="1:7" ht="100.5" x14ac:dyDescent="0.25">
      <c r="A1169" s="2" t="str">
        <f>"00083520"</f>
        <v>00083520</v>
      </c>
      <c r="B1169" s="2" t="str">
        <f>"QW"</f>
        <v>QW</v>
      </c>
      <c r="C1169" s="1" t="s">
        <v>882</v>
      </c>
      <c r="D1169" s="1" t="s">
        <v>0</v>
      </c>
      <c r="E1169" s="1" t="s">
        <v>12</v>
      </c>
      <c r="F1169" s="2" t="s">
        <v>0</v>
      </c>
      <c r="G1169" s="3">
        <v>17.27</v>
      </c>
    </row>
    <row r="1170" spans="1:7" ht="29.25" x14ac:dyDescent="0.25">
      <c r="A1170" s="2" t="str">
        <f>"00083521"</f>
        <v>00083521</v>
      </c>
      <c r="B1170" s="2" t="str">
        <f>"  "</f>
        <v xml:space="preserve">  </v>
      </c>
      <c r="C1170" s="1" t="s">
        <v>883</v>
      </c>
      <c r="D1170" s="1" t="s">
        <v>0</v>
      </c>
      <c r="E1170" s="1" t="s">
        <v>14</v>
      </c>
      <c r="F1170" s="2" t="s">
        <v>0</v>
      </c>
      <c r="G1170" s="17" t="s">
        <v>1769</v>
      </c>
    </row>
    <row r="1171" spans="1:7" ht="29.25" x14ac:dyDescent="0.25">
      <c r="A1171" s="2" t="str">
        <f>"00083521"</f>
        <v>00083521</v>
      </c>
      <c r="B1171" s="2" t="str">
        <f>"90"</f>
        <v>90</v>
      </c>
      <c r="C1171" s="1" t="s">
        <v>883</v>
      </c>
      <c r="D1171" s="1" t="s">
        <v>0</v>
      </c>
      <c r="E1171" s="1" t="s">
        <v>14</v>
      </c>
      <c r="F1171" s="2" t="s">
        <v>0</v>
      </c>
      <c r="G1171" s="17" t="s">
        <v>1769</v>
      </c>
    </row>
    <row r="1172" spans="1:7" x14ac:dyDescent="0.25">
      <c r="A1172" s="2" t="str">
        <f>"00083525"</f>
        <v>00083525</v>
      </c>
      <c r="B1172" s="2" t="str">
        <f>"  "</f>
        <v xml:space="preserve">  </v>
      </c>
      <c r="C1172" s="1" t="s">
        <v>884</v>
      </c>
      <c r="D1172" s="1" t="s">
        <v>0</v>
      </c>
      <c r="E1172" s="1" t="s">
        <v>12</v>
      </c>
      <c r="F1172" s="2" t="s">
        <v>0</v>
      </c>
      <c r="G1172" s="3">
        <v>11.43</v>
      </c>
    </row>
    <row r="1173" spans="1:7" ht="29.25" x14ac:dyDescent="0.25">
      <c r="A1173" s="2" t="str">
        <f>"00083527"</f>
        <v>00083527</v>
      </c>
      <c r="B1173" s="2" t="str">
        <f>"  "</f>
        <v xml:space="preserve">  </v>
      </c>
      <c r="C1173" s="1" t="s">
        <v>885</v>
      </c>
      <c r="D1173" s="1" t="s">
        <v>0</v>
      </c>
      <c r="E1173" s="1" t="s">
        <v>12</v>
      </c>
      <c r="F1173" s="2" t="s">
        <v>0</v>
      </c>
      <c r="G1173" s="3">
        <v>12.95</v>
      </c>
    </row>
    <row r="1174" spans="1:7" x14ac:dyDescent="0.25">
      <c r="A1174" s="2" t="str">
        <f>"00083528"</f>
        <v>00083528</v>
      </c>
      <c r="B1174" s="2" t="str">
        <f>"  "</f>
        <v xml:space="preserve">  </v>
      </c>
      <c r="C1174" s="1" t="s">
        <v>886</v>
      </c>
      <c r="D1174" s="1" t="s">
        <v>0</v>
      </c>
      <c r="E1174" s="1" t="s">
        <v>12</v>
      </c>
      <c r="F1174" s="2" t="s">
        <v>0</v>
      </c>
      <c r="G1174" s="3">
        <v>19.82</v>
      </c>
    </row>
    <row r="1175" spans="1:7" x14ac:dyDescent="0.25">
      <c r="A1175" s="2" t="str">
        <f>"00083529"</f>
        <v>00083529</v>
      </c>
      <c r="B1175" s="2" t="str">
        <f>"  "</f>
        <v xml:space="preserve">  </v>
      </c>
      <c r="C1175" s="1" t="s">
        <v>887</v>
      </c>
      <c r="D1175" s="1" t="s">
        <v>0</v>
      </c>
      <c r="E1175" s="1" t="s">
        <v>14</v>
      </c>
      <c r="F1175" s="2" t="s">
        <v>0</v>
      </c>
      <c r="G1175" s="17" t="s">
        <v>1769</v>
      </c>
    </row>
    <row r="1176" spans="1:7" x14ac:dyDescent="0.25">
      <c r="A1176" s="2" t="str">
        <f>"00083529"</f>
        <v>00083529</v>
      </c>
      <c r="B1176" s="2" t="str">
        <f>"90"</f>
        <v>90</v>
      </c>
      <c r="C1176" s="1" t="s">
        <v>887</v>
      </c>
      <c r="D1176" s="1" t="s">
        <v>0</v>
      </c>
      <c r="E1176" s="1" t="s">
        <v>14</v>
      </c>
      <c r="F1176" s="2" t="s">
        <v>0</v>
      </c>
      <c r="G1176" s="17" t="s">
        <v>1769</v>
      </c>
    </row>
    <row r="1177" spans="1:7" x14ac:dyDescent="0.25">
      <c r="A1177" s="2" t="str">
        <f>"00083540"</f>
        <v>00083540</v>
      </c>
      <c r="B1177" s="2" t="str">
        <f t="shared" ref="B1177:B1183" si="39">"  "</f>
        <v xml:space="preserve">  </v>
      </c>
      <c r="C1177" s="1" t="s">
        <v>888</v>
      </c>
      <c r="D1177" s="1" t="s">
        <v>0</v>
      </c>
      <c r="E1177" s="1" t="s">
        <v>12</v>
      </c>
      <c r="F1177" s="2" t="s">
        <v>0</v>
      </c>
      <c r="G1177" s="3">
        <v>6.47</v>
      </c>
    </row>
    <row r="1178" spans="1:7" x14ac:dyDescent="0.25">
      <c r="A1178" s="2" t="str">
        <f>"00083550"</f>
        <v>00083550</v>
      </c>
      <c r="B1178" s="2" t="str">
        <f t="shared" si="39"/>
        <v xml:space="preserve">  </v>
      </c>
      <c r="C1178" s="1" t="s">
        <v>889</v>
      </c>
      <c r="D1178" s="1" t="s">
        <v>0</v>
      </c>
      <c r="E1178" s="1" t="s">
        <v>12</v>
      </c>
      <c r="F1178" s="2" t="s">
        <v>0</v>
      </c>
      <c r="G1178" s="3">
        <v>8.74</v>
      </c>
    </row>
    <row r="1179" spans="1:7" ht="29.25" x14ac:dyDescent="0.25">
      <c r="A1179" s="2" t="str">
        <f>"00083570"</f>
        <v>00083570</v>
      </c>
      <c r="B1179" s="2" t="str">
        <f t="shared" si="39"/>
        <v xml:space="preserve">  </v>
      </c>
      <c r="C1179" s="1" t="s">
        <v>890</v>
      </c>
      <c r="D1179" s="1" t="s">
        <v>0</v>
      </c>
      <c r="E1179" s="1" t="s">
        <v>12</v>
      </c>
      <c r="F1179" s="2" t="s">
        <v>0</v>
      </c>
      <c r="G1179" s="3">
        <v>8.85</v>
      </c>
    </row>
    <row r="1180" spans="1:7" ht="29.25" x14ac:dyDescent="0.25">
      <c r="A1180" s="2" t="str">
        <f>"00083582"</f>
        <v>00083582</v>
      </c>
      <c r="B1180" s="2" t="str">
        <f t="shared" si="39"/>
        <v xml:space="preserve">  </v>
      </c>
      <c r="C1180" s="1" t="s">
        <v>891</v>
      </c>
      <c r="D1180" s="1" t="s">
        <v>0</v>
      </c>
      <c r="E1180" s="1" t="s">
        <v>12</v>
      </c>
      <c r="F1180" s="2" t="s">
        <v>0</v>
      </c>
      <c r="G1180" s="3">
        <v>15.47</v>
      </c>
    </row>
    <row r="1181" spans="1:7" ht="29.25" x14ac:dyDescent="0.25">
      <c r="A1181" s="2" t="str">
        <f>"00083586"</f>
        <v>00083586</v>
      </c>
      <c r="B1181" s="2" t="str">
        <f t="shared" si="39"/>
        <v xml:space="preserve">  </v>
      </c>
      <c r="C1181" s="1" t="s">
        <v>892</v>
      </c>
      <c r="D1181" s="1" t="s">
        <v>0</v>
      </c>
      <c r="E1181" s="1" t="s">
        <v>12</v>
      </c>
      <c r="F1181" s="2" t="s">
        <v>0</v>
      </c>
      <c r="G1181" s="3">
        <v>12.8</v>
      </c>
    </row>
    <row r="1182" spans="1:7" ht="29.25" x14ac:dyDescent="0.25">
      <c r="A1182" s="2" t="str">
        <f>"00083593"</f>
        <v>00083593</v>
      </c>
      <c r="B1182" s="2" t="str">
        <f t="shared" si="39"/>
        <v xml:space="preserve">  </v>
      </c>
      <c r="C1182" s="1" t="s">
        <v>893</v>
      </c>
      <c r="D1182" s="1" t="s">
        <v>0</v>
      </c>
      <c r="E1182" s="1" t="s">
        <v>12</v>
      </c>
      <c r="F1182" s="2" t="s">
        <v>0</v>
      </c>
      <c r="G1182" s="3">
        <v>28.5</v>
      </c>
    </row>
    <row r="1183" spans="1:7" x14ac:dyDescent="0.25">
      <c r="A1183" s="2" t="str">
        <f>"00083605"</f>
        <v>00083605</v>
      </c>
      <c r="B1183" s="2" t="str">
        <f t="shared" si="39"/>
        <v xml:space="preserve">  </v>
      </c>
      <c r="C1183" s="1" t="s">
        <v>894</v>
      </c>
      <c r="D1183" s="1" t="s">
        <v>0</v>
      </c>
      <c r="E1183" s="1" t="s">
        <v>12</v>
      </c>
      <c r="F1183" s="2" t="s">
        <v>0</v>
      </c>
      <c r="G1183" s="3">
        <v>11.57</v>
      </c>
    </row>
    <row r="1184" spans="1:7" x14ac:dyDescent="0.25">
      <c r="A1184" s="2" t="str">
        <f>"00083605"</f>
        <v>00083605</v>
      </c>
      <c r="B1184" s="2" t="str">
        <f>"QW"</f>
        <v>QW</v>
      </c>
      <c r="C1184" s="1" t="s">
        <v>895</v>
      </c>
      <c r="D1184" s="1" t="s">
        <v>0</v>
      </c>
      <c r="E1184" s="1" t="s">
        <v>12</v>
      </c>
      <c r="F1184" s="2" t="s">
        <v>0</v>
      </c>
      <c r="G1184" s="3">
        <v>11.57</v>
      </c>
    </row>
    <row r="1185" spans="1:7" ht="43.5" x14ac:dyDescent="0.25">
      <c r="A1185" s="2" t="str">
        <f>"00083615"</f>
        <v>00083615</v>
      </c>
      <c r="B1185" s="2" t="str">
        <f t="shared" ref="B1185:B1191" si="40">"  "</f>
        <v xml:space="preserve">  </v>
      </c>
      <c r="C1185" s="1" t="s">
        <v>896</v>
      </c>
      <c r="D1185" s="1" t="s">
        <v>0</v>
      </c>
      <c r="E1185" s="1" t="s">
        <v>12</v>
      </c>
      <c r="F1185" s="2" t="s">
        <v>0</v>
      </c>
      <c r="G1185" s="3">
        <v>6.04</v>
      </c>
    </row>
    <row r="1186" spans="1:7" ht="43.5" x14ac:dyDescent="0.25">
      <c r="A1186" s="2" t="str">
        <f>"00083625"</f>
        <v>00083625</v>
      </c>
      <c r="B1186" s="2" t="str">
        <f t="shared" si="40"/>
        <v xml:space="preserve">  </v>
      </c>
      <c r="C1186" s="1" t="s">
        <v>897</v>
      </c>
      <c r="D1186" s="1" t="s">
        <v>0</v>
      </c>
      <c r="E1186" s="1" t="s">
        <v>12</v>
      </c>
      <c r="F1186" s="2" t="s">
        <v>0</v>
      </c>
      <c r="G1186" s="3">
        <v>12.79</v>
      </c>
    </row>
    <row r="1187" spans="1:7" ht="29.25" x14ac:dyDescent="0.25">
      <c r="A1187" s="2" t="str">
        <f>"00083630"</f>
        <v>00083630</v>
      </c>
      <c r="B1187" s="2" t="str">
        <f t="shared" si="40"/>
        <v xml:space="preserve">  </v>
      </c>
      <c r="C1187" s="1" t="s">
        <v>898</v>
      </c>
      <c r="D1187" s="1" t="s">
        <v>0</v>
      </c>
      <c r="E1187" s="1" t="s">
        <v>12</v>
      </c>
      <c r="F1187" s="2" t="s">
        <v>0</v>
      </c>
      <c r="G1187" s="3">
        <v>19.7</v>
      </c>
    </row>
    <row r="1188" spans="1:7" ht="29.25" x14ac:dyDescent="0.25">
      <c r="A1188" s="2" t="str">
        <f>"00083631"</f>
        <v>00083631</v>
      </c>
      <c r="B1188" s="2" t="str">
        <f t="shared" si="40"/>
        <v xml:space="preserve">  </v>
      </c>
      <c r="C1188" s="1" t="s">
        <v>899</v>
      </c>
      <c r="D1188" s="1" t="s">
        <v>0</v>
      </c>
      <c r="E1188" s="1" t="s">
        <v>12</v>
      </c>
      <c r="F1188" s="2" t="s">
        <v>0</v>
      </c>
      <c r="G1188" s="3">
        <v>19.63</v>
      </c>
    </row>
    <row r="1189" spans="1:7" ht="57.75" x14ac:dyDescent="0.25">
      <c r="A1189" s="2" t="str">
        <f>"00083632"</f>
        <v>00083632</v>
      </c>
      <c r="B1189" s="2" t="str">
        <f t="shared" si="40"/>
        <v xml:space="preserve">  </v>
      </c>
      <c r="C1189" s="1" t="s">
        <v>900</v>
      </c>
      <c r="D1189" s="1" t="s">
        <v>0</v>
      </c>
      <c r="E1189" s="1" t="s">
        <v>12</v>
      </c>
      <c r="F1189" s="2" t="s">
        <v>0</v>
      </c>
      <c r="G1189" s="3">
        <v>20.22</v>
      </c>
    </row>
    <row r="1190" spans="1:7" ht="29.25" x14ac:dyDescent="0.25">
      <c r="A1190" s="2" t="str">
        <f>"00083633"</f>
        <v>00083633</v>
      </c>
      <c r="B1190" s="2" t="str">
        <f t="shared" si="40"/>
        <v xml:space="preserve">  </v>
      </c>
      <c r="C1190" s="1" t="s">
        <v>901</v>
      </c>
      <c r="D1190" s="1" t="s">
        <v>0</v>
      </c>
      <c r="E1190" s="1" t="s">
        <v>12</v>
      </c>
      <c r="F1190" s="2" t="s">
        <v>0</v>
      </c>
      <c r="G1190" s="3">
        <v>11.25</v>
      </c>
    </row>
    <row r="1191" spans="1:7" x14ac:dyDescent="0.25">
      <c r="A1191" s="2" t="str">
        <f>"00083655"</f>
        <v>00083655</v>
      </c>
      <c r="B1191" s="2" t="str">
        <f t="shared" si="40"/>
        <v xml:space="preserve">  </v>
      </c>
      <c r="C1191" s="1" t="s">
        <v>902</v>
      </c>
      <c r="D1191" s="1" t="s">
        <v>0</v>
      </c>
      <c r="E1191" s="1" t="s">
        <v>12</v>
      </c>
      <c r="F1191" s="2" t="s">
        <v>0</v>
      </c>
      <c r="G1191" s="3">
        <v>12.11</v>
      </c>
    </row>
    <row r="1192" spans="1:7" x14ac:dyDescent="0.25">
      <c r="A1192" s="2" t="str">
        <f>"00083655"</f>
        <v>00083655</v>
      </c>
      <c r="B1192" s="2" t="str">
        <f>"QW"</f>
        <v>QW</v>
      </c>
      <c r="C1192" s="1" t="s">
        <v>903</v>
      </c>
      <c r="D1192" s="1" t="s">
        <v>0</v>
      </c>
      <c r="E1192" s="1" t="s">
        <v>12</v>
      </c>
      <c r="F1192" s="2" t="s">
        <v>0</v>
      </c>
      <c r="G1192" s="3">
        <v>12.11</v>
      </c>
    </row>
    <row r="1193" spans="1:7" ht="43.5" x14ac:dyDescent="0.25">
      <c r="A1193" s="2" t="str">
        <f>"00083661"</f>
        <v>00083661</v>
      </c>
      <c r="B1193" s="2" t="str">
        <f t="shared" ref="B1193:B1204" si="41">"  "</f>
        <v xml:space="preserve">  </v>
      </c>
      <c r="C1193" s="1" t="s">
        <v>904</v>
      </c>
      <c r="D1193" s="1" t="s">
        <v>0</v>
      </c>
      <c r="E1193" s="1" t="s">
        <v>14</v>
      </c>
      <c r="F1193" s="2" t="s">
        <v>0</v>
      </c>
      <c r="G1193" s="17" t="s">
        <v>1769</v>
      </c>
    </row>
    <row r="1194" spans="1:7" ht="29.25" x14ac:dyDescent="0.25">
      <c r="A1194" s="2" t="str">
        <f>"00083662"</f>
        <v>00083662</v>
      </c>
      <c r="B1194" s="2" t="str">
        <f t="shared" si="41"/>
        <v xml:space="preserve">  </v>
      </c>
      <c r="C1194" s="1" t="s">
        <v>905</v>
      </c>
      <c r="D1194" s="1" t="s">
        <v>0</v>
      </c>
      <c r="E1194" s="1" t="s">
        <v>12</v>
      </c>
      <c r="F1194" s="2" t="s">
        <v>0</v>
      </c>
      <c r="G1194" s="3">
        <v>18.91</v>
      </c>
    </row>
    <row r="1195" spans="1:7" ht="57.75" x14ac:dyDescent="0.25">
      <c r="A1195" s="2" t="str">
        <f>"00083663"</f>
        <v>00083663</v>
      </c>
      <c r="B1195" s="2" t="str">
        <f t="shared" si="41"/>
        <v xml:space="preserve">  </v>
      </c>
      <c r="C1195" s="1" t="s">
        <v>906</v>
      </c>
      <c r="D1195" s="1" t="s">
        <v>0</v>
      </c>
      <c r="E1195" s="1" t="s">
        <v>12</v>
      </c>
      <c r="F1195" s="2" t="s">
        <v>0</v>
      </c>
      <c r="G1195" s="3">
        <v>18.91</v>
      </c>
    </row>
    <row r="1196" spans="1:7" ht="43.5" x14ac:dyDescent="0.25">
      <c r="A1196" s="2" t="str">
        <f>"00083664"</f>
        <v>00083664</v>
      </c>
      <c r="B1196" s="2" t="str">
        <f t="shared" si="41"/>
        <v xml:space="preserve">  </v>
      </c>
      <c r="C1196" s="1" t="s">
        <v>907</v>
      </c>
      <c r="D1196" s="1" t="s">
        <v>0</v>
      </c>
      <c r="E1196" s="1" t="s">
        <v>12</v>
      </c>
      <c r="F1196" s="2" t="s">
        <v>0</v>
      </c>
      <c r="G1196" s="3">
        <v>19.32</v>
      </c>
    </row>
    <row r="1197" spans="1:7" ht="29.25" x14ac:dyDescent="0.25">
      <c r="A1197" s="2" t="str">
        <f>"00083670"</f>
        <v>00083670</v>
      </c>
      <c r="B1197" s="2" t="str">
        <f t="shared" si="41"/>
        <v xml:space="preserve">  </v>
      </c>
      <c r="C1197" s="1" t="s">
        <v>908</v>
      </c>
      <c r="D1197" s="1" t="s">
        <v>0</v>
      </c>
      <c r="E1197" s="1" t="s">
        <v>12</v>
      </c>
      <c r="F1197" s="2" t="s">
        <v>0</v>
      </c>
      <c r="G1197" s="3">
        <v>9.81</v>
      </c>
    </row>
    <row r="1198" spans="1:7" x14ac:dyDescent="0.25">
      <c r="A1198" s="2" t="str">
        <f>"00083690"</f>
        <v>00083690</v>
      </c>
      <c r="B1198" s="2" t="str">
        <f t="shared" si="41"/>
        <v xml:space="preserve">  </v>
      </c>
      <c r="C1198" s="1" t="s">
        <v>909</v>
      </c>
      <c r="D1198" s="1" t="s">
        <v>0</v>
      </c>
      <c r="E1198" s="1" t="s">
        <v>12</v>
      </c>
      <c r="F1198" s="2" t="s">
        <v>0</v>
      </c>
      <c r="G1198" s="3">
        <v>6.89</v>
      </c>
    </row>
    <row r="1199" spans="1:7" x14ac:dyDescent="0.25">
      <c r="A1199" s="2" t="str">
        <f>"00083695"</f>
        <v>00083695</v>
      </c>
      <c r="B1199" s="2" t="str">
        <f t="shared" si="41"/>
        <v xml:space="preserve">  </v>
      </c>
      <c r="C1199" s="1" t="s">
        <v>910</v>
      </c>
      <c r="D1199" s="1" t="s">
        <v>0</v>
      </c>
      <c r="E1199" s="1" t="s">
        <v>12</v>
      </c>
      <c r="F1199" s="2" t="s">
        <v>0</v>
      </c>
      <c r="G1199" s="3">
        <v>14.32</v>
      </c>
    </row>
    <row r="1200" spans="1:7" ht="43.5" x14ac:dyDescent="0.25">
      <c r="A1200" s="2" t="str">
        <f>"00083698"</f>
        <v>00083698</v>
      </c>
      <c r="B1200" s="2" t="str">
        <f t="shared" si="41"/>
        <v xml:space="preserve">  </v>
      </c>
      <c r="C1200" s="1" t="s">
        <v>911</v>
      </c>
      <c r="D1200" s="1" t="s">
        <v>0</v>
      </c>
      <c r="E1200" s="1" t="s">
        <v>12</v>
      </c>
      <c r="F1200" s="2" t="s">
        <v>0</v>
      </c>
      <c r="G1200" s="3">
        <v>46.31</v>
      </c>
    </row>
    <row r="1201" spans="1:7" ht="57.75" x14ac:dyDescent="0.25">
      <c r="A1201" s="2" t="str">
        <f>"00083700"</f>
        <v>00083700</v>
      </c>
      <c r="B1201" s="2" t="str">
        <f t="shared" si="41"/>
        <v xml:space="preserve">  </v>
      </c>
      <c r="C1201" s="1" t="s">
        <v>912</v>
      </c>
      <c r="D1201" s="1" t="s">
        <v>0</v>
      </c>
      <c r="E1201" s="1" t="s">
        <v>12</v>
      </c>
      <c r="F1201" s="2" t="s">
        <v>0</v>
      </c>
      <c r="G1201" s="3">
        <v>11.26</v>
      </c>
    </row>
    <row r="1202" spans="1:7" ht="100.5" x14ac:dyDescent="0.25">
      <c r="A1202" s="2" t="str">
        <f>"00083701"</f>
        <v>00083701</v>
      </c>
      <c r="B1202" s="2" t="str">
        <f t="shared" si="41"/>
        <v xml:space="preserve">  </v>
      </c>
      <c r="C1202" s="1" t="s">
        <v>913</v>
      </c>
      <c r="D1202" s="1" t="s">
        <v>0</v>
      </c>
      <c r="E1202" s="1" t="s">
        <v>12</v>
      </c>
      <c r="F1202" s="2" t="s">
        <v>0</v>
      </c>
      <c r="G1202" s="3">
        <v>33.86</v>
      </c>
    </row>
    <row r="1203" spans="1:7" ht="114.75" x14ac:dyDescent="0.25">
      <c r="A1203" s="2" t="str">
        <f>"00083704"</f>
        <v>00083704</v>
      </c>
      <c r="B1203" s="2" t="str">
        <f t="shared" si="41"/>
        <v xml:space="preserve">  </v>
      </c>
      <c r="C1203" s="1" t="s">
        <v>914</v>
      </c>
      <c r="D1203" s="1" t="s">
        <v>0</v>
      </c>
      <c r="E1203" s="1" t="s">
        <v>12</v>
      </c>
      <c r="F1203" s="2" t="s">
        <v>0</v>
      </c>
      <c r="G1203" s="3">
        <v>34.19</v>
      </c>
    </row>
    <row r="1204" spans="1:7" ht="72" x14ac:dyDescent="0.25">
      <c r="A1204" s="2" t="str">
        <f>"00083718"</f>
        <v>00083718</v>
      </c>
      <c r="B1204" s="2" t="str">
        <f t="shared" si="41"/>
        <v xml:space="preserve">  </v>
      </c>
      <c r="C1204" s="1" t="s">
        <v>915</v>
      </c>
      <c r="D1204" s="1" t="s">
        <v>0</v>
      </c>
      <c r="E1204" s="1" t="s">
        <v>12</v>
      </c>
      <c r="F1204" s="2" t="s">
        <v>0</v>
      </c>
      <c r="G1204" s="3">
        <v>8.19</v>
      </c>
    </row>
    <row r="1205" spans="1:7" ht="86.25" x14ac:dyDescent="0.25">
      <c r="A1205" s="2" t="str">
        <f>"00083718"</f>
        <v>00083718</v>
      </c>
      <c r="B1205" s="2" t="str">
        <f>"QW"</f>
        <v>QW</v>
      </c>
      <c r="C1205" s="1" t="s">
        <v>916</v>
      </c>
      <c r="D1205" s="1" t="s">
        <v>0</v>
      </c>
      <c r="E1205" s="1" t="s">
        <v>12</v>
      </c>
      <c r="F1205" s="2" t="s">
        <v>0</v>
      </c>
      <c r="G1205" s="3">
        <v>8.19</v>
      </c>
    </row>
    <row r="1206" spans="1:7" ht="43.5" x14ac:dyDescent="0.25">
      <c r="A1206" s="2" t="str">
        <f>"00083719"</f>
        <v>00083719</v>
      </c>
      <c r="B1206" s="2" t="str">
        <f>"  "</f>
        <v xml:space="preserve">  </v>
      </c>
      <c r="C1206" s="1" t="s">
        <v>917</v>
      </c>
      <c r="D1206" s="1" t="s">
        <v>0</v>
      </c>
      <c r="E1206" s="1" t="s">
        <v>12</v>
      </c>
      <c r="F1206" s="2" t="s">
        <v>0</v>
      </c>
      <c r="G1206" s="3">
        <v>12.75</v>
      </c>
    </row>
    <row r="1207" spans="1:7" ht="29.25" x14ac:dyDescent="0.25">
      <c r="A1207" s="2" t="str">
        <f>"00083721"</f>
        <v>00083721</v>
      </c>
      <c r="B1207" s="2" t="str">
        <f>"  "</f>
        <v xml:space="preserve">  </v>
      </c>
      <c r="C1207" s="1" t="s">
        <v>918</v>
      </c>
      <c r="D1207" s="1" t="s">
        <v>0</v>
      </c>
      <c r="E1207" s="1" t="s">
        <v>12</v>
      </c>
      <c r="F1207" s="2" t="s">
        <v>0</v>
      </c>
      <c r="G1207" s="3">
        <v>10.5</v>
      </c>
    </row>
    <row r="1208" spans="1:7" ht="57.75" x14ac:dyDescent="0.25">
      <c r="A1208" s="2" t="str">
        <f>"00083721"</f>
        <v>00083721</v>
      </c>
      <c r="B1208" s="2" t="str">
        <f>"QW"</f>
        <v>QW</v>
      </c>
      <c r="C1208" s="1" t="s">
        <v>919</v>
      </c>
      <c r="D1208" s="1" t="s">
        <v>0</v>
      </c>
      <c r="E1208" s="1" t="s">
        <v>12</v>
      </c>
      <c r="F1208" s="2" t="s">
        <v>0</v>
      </c>
      <c r="G1208" s="3">
        <v>10.5</v>
      </c>
    </row>
    <row r="1209" spans="1:7" ht="57.75" x14ac:dyDescent="0.25">
      <c r="A1209" s="2" t="str">
        <f>"00083722"</f>
        <v>00083722</v>
      </c>
      <c r="B1209" s="2" t="str">
        <f t="shared" ref="B1209:B1218" si="42">"  "</f>
        <v xml:space="preserve">  </v>
      </c>
      <c r="C1209" s="1" t="s">
        <v>920</v>
      </c>
      <c r="D1209" s="1" t="s">
        <v>0</v>
      </c>
      <c r="E1209" s="1" t="s">
        <v>12</v>
      </c>
      <c r="F1209" s="2" t="s">
        <v>0</v>
      </c>
      <c r="G1209" s="3">
        <v>34.19</v>
      </c>
    </row>
    <row r="1210" spans="1:7" ht="29.25" x14ac:dyDescent="0.25">
      <c r="A1210" s="2" t="str">
        <f>"00083727"</f>
        <v>00083727</v>
      </c>
      <c r="B1210" s="2" t="str">
        <f t="shared" si="42"/>
        <v xml:space="preserve">  </v>
      </c>
      <c r="C1210" s="1" t="s">
        <v>921</v>
      </c>
      <c r="D1210" s="1" t="s">
        <v>0</v>
      </c>
      <c r="E1210" s="1" t="s">
        <v>12</v>
      </c>
      <c r="F1210" s="2" t="s">
        <v>0</v>
      </c>
      <c r="G1210" s="3">
        <v>17.190000000000001</v>
      </c>
    </row>
    <row r="1211" spans="1:7" x14ac:dyDescent="0.25">
      <c r="A1211" s="2" t="str">
        <f>"00083735"</f>
        <v>00083735</v>
      </c>
      <c r="B1211" s="2" t="str">
        <f t="shared" si="42"/>
        <v xml:space="preserve">  </v>
      </c>
      <c r="C1211" s="1" t="s">
        <v>922</v>
      </c>
      <c r="D1211" s="1" t="s">
        <v>0</v>
      </c>
      <c r="E1211" s="1" t="s">
        <v>12</v>
      </c>
      <c r="F1211" s="2" t="s">
        <v>0</v>
      </c>
      <c r="G1211" s="3">
        <v>6.7</v>
      </c>
    </row>
    <row r="1212" spans="1:7" x14ac:dyDescent="0.25">
      <c r="A1212" s="2" t="str">
        <f>"00083775"</f>
        <v>00083775</v>
      </c>
      <c r="B1212" s="2" t="str">
        <f t="shared" si="42"/>
        <v xml:space="preserve">  </v>
      </c>
      <c r="C1212" s="1" t="s">
        <v>923</v>
      </c>
      <c r="D1212" s="1" t="s">
        <v>0</v>
      </c>
      <c r="E1212" s="1" t="s">
        <v>12</v>
      </c>
      <c r="F1212" s="2" t="s">
        <v>0</v>
      </c>
      <c r="G1212" s="3">
        <v>7.37</v>
      </c>
    </row>
    <row r="1213" spans="1:7" x14ac:dyDescent="0.25">
      <c r="A1213" s="2" t="str">
        <f>"00083785"</f>
        <v>00083785</v>
      </c>
      <c r="B1213" s="2" t="str">
        <f t="shared" si="42"/>
        <v xml:space="preserve">  </v>
      </c>
      <c r="C1213" s="1" t="s">
        <v>924</v>
      </c>
      <c r="D1213" s="1" t="s">
        <v>0</v>
      </c>
      <c r="E1213" s="1" t="s">
        <v>12</v>
      </c>
      <c r="F1213" s="2" t="s">
        <v>0</v>
      </c>
      <c r="G1213" s="3">
        <v>26.65</v>
      </c>
    </row>
    <row r="1214" spans="1:7" ht="72" x14ac:dyDescent="0.25">
      <c r="A1214" s="2" t="str">
        <f>"00083789"</f>
        <v>00083789</v>
      </c>
      <c r="B1214" s="2" t="str">
        <f t="shared" si="42"/>
        <v xml:space="preserve">  </v>
      </c>
      <c r="C1214" s="1" t="s">
        <v>925</v>
      </c>
      <c r="D1214" s="1" t="s">
        <v>0</v>
      </c>
      <c r="E1214" s="1" t="s">
        <v>12</v>
      </c>
      <c r="F1214" s="2" t="s">
        <v>0</v>
      </c>
      <c r="G1214" s="3">
        <v>24.11</v>
      </c>
    </row>
    <row r="1215" spans="1:7" x14ac:dyDescent="0.25">
      <c r="A1215" s="2" t="str">
        <f>"00083825"</f>
        <v>00083825</v>
      </c>
      <c r="B1215" s="2" t="str">
        <f t="shared" si="42"/>
        <v xml:space="preserve">  </v>
      </c>
      <c r="C1215" s="1" t="s">
        <v>926</v>
      </c>
      <c r="D1215" s="1" t="s">
        <v>0</v>
      </c>
      <c r="E1215" s="1" t="s">
        <v>12</v>
      </c>
      <c r="F1215" s="2" t="s">
        <v>0</v>
      </c>
      <c r="G1215" s="3">
        <v>16.260000000000002</v>
      </c>
    </row>
    <row r="1216" spans="1:7" x14ac:dyDescent="0.25">
      <c r="A1216" s="2" t="str">
        <f>"00083835"</f>
        <v>00083835</v>
      </c>
      <c r="B1216" s="2" t="str">
        <f t="shared" si="42"/>
        <v xml:space="preserve">  </v>
      </c>
      <c r="C1216" s="1" t="s">
        <v>927</v>
      </c>
      <c r="D1216" s="1" t="s">
        <v>0</v>
      </c>
      <c r="E1216" s="1" t="s">
        <v>12</v>
      </c>
      <c r="F1216" s="2" t="s">
        <v>0</v>
      </c>
      <c r="G1216" s="3">
        <v>16.940000000000001</v>
      </c>
    </row>
    <row r="1217" spans="1:7" x14ac:dyDescent="0.25">
      <c r="A1217" s="2" t="str">
        <f>"00083857"</f>
        <v>00083857</v>
      </c>
      <c r="B1217" s="2" t="str">
        <f t="shared" si="42"/>
        <v xml:space="preserve">  </v>
      </c>
      <c r="C1217" s="1" t="s">
        <v>928</v>
      </c>
      <c r="D1217" s="1" t="s">
        <v>0</v>
      </c>
      <c r="E1217" s="1" t="s">
        <v>12</v>
      </c>
      <c r="F1217" s="2" t="s">
        <v>0</v>
      </c>
      <c r="G1217" s="3">
        <v>10.74</v>
      </c>
    </row>
    <row r="1218" spans="1:7" ht="57.75" x14ac:dyDescent="0.25">
      <c r="A1218" s="2" t="str">
        <f>"00083861"</f>
        <v>00083861</v>
      </c>
      <c r="B1218" s="2" t="str">
        <f t="shared" si="42"/>
        <v xml:space="preserve">  </v>
      </c>
      <c r="C1218" s="1" t="s">
        <v>929</v>
      </c>
      <c r="D1218" s="1" t="s">
        <v>0</v>
      </c>
      <c r="E1218" s="1" t="s">
        <v>12</v>
      </c>
      <c r="F1218" s="2" t="s">
        <v>0</v>
      </c>
      <c r="G1218" s="3">
        <v>22.48</v>
      </c>
    </row>
    <row r="1219" spans="1:7" ht="57.75" x14ac:dyDescent="0.25">
      <c r="A1219" s="2" t="str">
        <f>"00083861"</f>
        <v>00083861</v>
      </c>
      <c r="B1219" s="2" t="str">
        <f>"QW"</f>
        <v>QW</v>
      </c>
      <c r="C1219" s="1" t="s">
        <v>929</v>
      </c>
      <c r="D1219" s="1" t="s">
        <v>0</v>
      </c>
      <c r="E1219" s="1" t="s">
        <v>12</v>
      </c>
      <c r="F1219" s="2" t="s">
        <v>0</v>
      </c>
      <c r="G1219" s="3">
        <v>22.48</v>
      </c>
    </row>
    <row r="1220" spans="1:7" ht="29.25" x14ac:dyDescent="0.25">
      <c r="A1220" s="2" t="str">
        <f>"00083864"</f>
        <v>00083864</v>
      </c>
      <c r="B1220" s="2" t="str">
        <f t="shared" ref="B1220:B1225" si="43">"  "</f>
        <v xml:space="preserve">  </v>
      </c>
      <c r="C1220" s="1" t="s">
        <v>930</v>
      </c>
      <c r="D1220" s="1" t="s">
        <v>0</v>
      </c>
      <c r="E1220" s="1" t="s">
        <v>12</v>
      </c>
      <c r="F1220" s="2" t="s">
        <v>0</v>
      </c>
      <c r="G1220" s="3">
        <v>28.5</v>
      </c>
    </row>
    <row r="1221" spans="1:7" ht="29.25" x14ac:dyDescent="0.25">
      <c r="A1221" s="2" t="str">
        <f>"00083872"</f>
        <v>00083872</v>
      </c>
      <c r="B1221" s="2" t="str">
        <f t="shared" si="43"/>
        <v xml:space="preserve">  </v>
      </c>
      <c r="C1221" s="1" t="s">
        <v>931</v>
      </c>
      <c r="D1221" s="1" t="s">
        <v>0</v>
      </c>
      <c r="E1221" s="1" t="s">
        <v>12</v>
      </c>
      <c r="F1221" s="2" t="s">
        <v>0</v>
      </c>
      <c r="G1221" s="3">
        <v>5.86</v>
      </c>
    </row>
    <row r="1222" spans="1:7" ht="29.25" x14ac:dyDescent="0.25">
      <c r="A1222" s="2" t="str">
        <f>"00083873"</f>
        <v>00083873</v>
      </c>
      <c r="B1222" s="2" t="str">
        <f t="shared" si="43"/>
        <v xml:space="preserve">  </v>
      </c>
      <c r="C1222" s="1" t="s">
        <v>932</v>
      </c>
      <c r="D1222" s="1" t="s">
        <v>0</v>
      </c>
      <c r="E1222" s="1" t="s">
        <v>12</v>
      </c>
      <c r="F1222" s="2" t="s">
        <v>0</v>
      </c>
      <c r="G1222" s="3">
        <v>17.2</v>
      </c>
    </row>
    <row r="1223" spans="1:7" x14ac:dyDescent="0.25">
      <c r="A1223" s="2" t="str">
        <f>"00083874"</f>
        <v>00083874</v>
      </c>
      <c r="B1223" s="2" t="str">
        <f t="shared" si="43"/>
        <v xml:space="preserve">  </v>
      </c>
      <c r="C1223" s="1" t="s">
        <v>933</v>
      </c>
      <c r="D1223" s="1" t="s">
        <v>0</v>
      </c>
      <c r="E1223" s="1" t="s">
        <v>12</v>
      </c>
      <c r="F1223" s="2" t="s">
        <v>0</v>
      </c>
      <c r="G1223" s="3">
        <v>12.92</v>
      </c>
    </row>
    <row r="1224" spans="1:7" x14ac:dyDescent="0.25">
      <c r="A1224" s="2" t="str">
        <f>"00083876"</f>
        <v>00083876</v>
      </c>
      <c r="B1224" s="2" t="str">
        <f t="shared" si="43"/>
        <v xml:space="preserve">  </v>
      </c>
      <c r="C1224" s="1" t="s">
        <v>934</v>
      </c>
      <c r="D1224" s="1" t="s">
        <v>0</v>
      </c>
      <c r="E1224" s="1" t="s">
        <v>12</v>
      </c>
      <c r="F1224" s="2" t="s">
        <v>0</v>
      </c>
      <c r="G1224" s="3">
        <v>50.86</v>
      </c>
    </row>
    <row r="1225" spans="1:7" x14ac:dyDescent="0.25">
      <c r="A1225" s="2" t="str">
        <f>"00083880"</f>
        <v>00083880</v>
      </c>
      <c r="B1225" s="2" t="str">
        <f t="shared" si="43"/>
        <v xml:space="preserve">  </v>
      </c>
      <c r="C1225" s="1" t="s">
        <v>935</v>
      </c>
      <c r="D1225" s="1" t="s">
        <v>0</v>
      </c>
      <c r="E1225" s="1" t="s">
        <v>12</v>
      </c>
      <c r="F1225" s="2" t="s">
        <v>0</v>
      </c>
      <c r="G1225" s="3">
        <v>39.26</v>
      </c>
    </row>
    <row r="1226" spans="1:7" ht="43.5" x14ac:dyDescent="0.25">
      <c r="A1226" s="2" t="str">
        <f>"00083880"</f>
        <v>00083880</v>
      </c>
      <c r="B1226" s="2" t="str">
        <f>"QW"</f>
        <v>QW</v>
      </c>
      <c r="C1226" s="1" t="s">
        <v>936</v>
      </c>
      <c r="D1226" s="1" t="s">
        <v>0</v>
      </c>
      <c r="E1226" s="1" t="s">
        <v>12</v>
      </c>
      <c r="F1226" s="2" t="s">
        <v>0</v>
      </c>
      <c r="G1226" s="3">
        <v>39.26</v>
      </c>
    </row>
    <row r="1227" spans="1:7" ht="43.5" x14ac:dyDescent="0.25">
      <c r="A1227" s="2" t="str">
        <f>"00083883"</f>
        <v>00083883</v>
      </c>
      <c r="B1227" s="2" t="str">
        <f t="shared" ref="B1227:B1241" si="44">"  "</f>
        <v xml:space="preserve">  </v>
      </c>
      <c r="C1227" s="1" t="s">
        <v>937</v>
      </c>
      <c r="D1227" s="1" t="s">
        <v>0</v>
      </c>
      <c r="E1227" s="1" t="s">
        <v>12</v>
      </c>
      <c r="F1227" s="2" t="s">
        <v>0</v>
      </c>
      <c r="G1227" s="3">
        <v>13.6</v>
      </c>
    </row>
    <row r="1228" spans="1:7" x14ac:dyDescent="0.25">
      <c r="A1228" s="2" t="str">
        <f>"00083885"</f>
        <v>00083885</v>
      </c>
      <c r="B1228" s="2" t="str">
        <f t="shared" si="44"/>
        <v xml:space="preserve">  </v>
      </c>
      <c r="C1228" s="1" t="s">
        <v>938</v>
      </c>
      <c r="D1228" s="1" t="s">
        <v>0</v>
      </c>
      <c r="E1228" s="1" t="s">
        <v>12</v>
      </c>
      <c r="F1228" s="2" t="s">
        <v>0</v>
      </c>
      <c r="G1228" s="3">
        <v>24.51</v>
      </c>
    </row>
    <row r="1229" spans="1:7" x14ac:dyDescent="0.25">
      <c r="A1229" s="2" t="str">
        <f>"00083915"</f>
        <v>00083915</v>
      </c>
      <c r="B1229" s="2" t="str">
        <f t="shared" si="44"/>
        <v xml:space="preserve">  </v>
      </c>
      <c r="C1229" s="1" t="s">
        <v>939</v>
      </c>
      <c r="D1229" s="1" t="s">
        <v>0</v>
      </c>
      <c r="E1229" s="1" t="s">
        <v>12</v>
      </c>
      <c r="F1229" s="2" t="s">
        <v>0</v>
      </c>
      <c r="G1229" s="3">
        <v>11.15</v>
      </c>
    </row>
    <row r="1230" spans="1:7" ht="29.25" x14ac:dyDescent="0.25">
      <c r="A1230" s="2" t="str">
        <f>"00083916"</f>
        <v>00083916</v>
      </c>
      <c r="B1230" s="2" t="str">
        <f t="shared" si="44"/>
        <v xml:space="preserve">  </v>
      </c>
      <c r="C1230" s="1" t="s">
        <v>940</v>
      </c>
      <c r="D1230" s="1" t="s">
        <v>0</v>
      </c>
      <c r="E1230" s="1" t="s">
        <v>12</v>
      </c>
      <c r="F1230" s="2" t="s">
        <v>0</v>
      </c>
      <c r="G1230" s="3">
        <v>27.39</v>
      </c>
    </row>
    <row r="1231" spans="1:7" ht="43.5" x14ac:dyDescent="0.25">
      <c r="A1231" s="2" t="str">
        <f>"00083918"</f>
        <v>00083918</v>
      </c>
      <c r="B1231" s="2" t="str">
        <f t="shared" si="44"/>
        <v xml:space="preserve">  </v>
      </c>
      <c r="C1231" s="1" t="s">
        <v>941</v>
      </c>
      <c r="D1231" s="1" t="s">
        <v>0</v>
      </c>
      <c r="E1231" s="1" t="s">
        <v>12</v>
      </c>
      <c r="F1231" s="2" t="s">
        <v>0</v>
      </c>
      <c r="G1231" s="3">
        <v>23.6</v>
      </c>
    </row>
    <row r="1232" spans="1:7" ht="43.5" x14ac:dyDescent="0.25">
      <c r="A1232" s="2" t="str">
        <f>"00083919"</f>
        <v>00083919</v>
      </c>
      <c r="B1232" s="2" t="str">
        <f t="shared" si="44"/>
        <v xml:space="preserve">  </v>
      </c>
      <c r="C1232" s="1" t="s">
        <v>942</v>
      </c>
      <c r="D1232" s="1" t="s">
        <v>0</v>
      </c>
      <c r="E1232" s="1" t="s">
        <v>12</v>
      </c>
      <c r="F1232" s="2" t="s">
        <v>0</v>
      </c>
      <c r="G1232" s="3">
        <v>16.45</v>
      </c>
    </row>
    <row r="1233" spans="1:7" ht="29.25" x14ac:dyDescent="0.25">
      <c r="A1233" s="2" t="str">
        <f>"00083921"</f>
        <v>00083921</v>
      </c>
      <c r="B1233" s="2" t="str">
        <f t="shared" si="44"/>
        <v xml:space="preserve">  </v>
      </c>
      <c r="C1233" s="1" t="s">
        <v>943</v>
      </c>
      <c r="D1233" s="1" t="s">
        <v>0</v>
      </c>
      <c r="E1233" s="1" t="s">
        <v>12</v>
      </c>
      <c r="F1233" s="2" t="s">
        <v>0</v>
      </c>
      <c r="G1233" s="3">
        <v>21.21</v>
      </c>
    </row>
    <row r="1234" spans="1:7" x14ac:dyDescent="0.25">
      <c r="A1234" s="2" t="str">
        <f>"00083930"</f>
        <v>00083930</v>
      </c>
      <c r="B1234" s="2" t="str">
        <f t="shared" si="44"/>
        <v xml:space="preserve">  </v>
      </c>
      <c r="C1234" s="1" t="s">
        <v>944</v>
      </c>
      <c r="D1234" s="1" t="s">
        <v>0</v>
      </c>
      <c r="E1234" s="1" t="s">
        <v>12</v>
      </c>
      <c r="F1234" s="2" t="s">
        <v>0</v>
      </c>
      <c r="G1234" s="3">
        <v>6.61</v>
      </c>
    </row>
    <row r="1235" spans="1:7" x14ac:dyDescent="0.25">
      <c r="A1235" s="2" t="str">
        <f>"00083935"</f>
        <v>00083935</v>
      </c>
      <c r="B1235" s="2" t="str">
        <f t="shared" si="44"/>
        <v xml:space="preserve">  </v>
      </c>
      <c r="C1235" s="1" t="s">
        <v>945</v>
      </c>
      <c r="D1235" s="1" t="s">
        <v>0</v>
      </c>
      <c r="E1235" s="1" t="s">
        <v>12</v>
      </c>
      <c r="F1235" s="2" t="s">
        <v>0</v>
      </c>
      <c r="G1235" s="3">
        <v>6.82</v>
      </c>
    </row>
    <row r="1236" spans="1:7" ht="29.25" x14ac:dyDescent="0.25">
      <c r="A1236" s="2" t="str">
        <f>"00083937"</f>
        <v>00083937</v>
      </c>
      <c r="B1236" s="2" t="str">
        <f t="shared" si="44"/>
        <v xml:space="preserve">  </v>
      </c>
      <c r="C1236" s="1" t="s">
        <v>946</v>
      </c>
      <c r="D1236" s="1" t="s">
        <v>0</v>
      </c>
      <c r="E1236" s="1" t="s">
        <v>12</v>
      </c>
      <c r="F1236" s="2" t="s">
        <v>0</v>
      </c>
      <c r="G1236" s="3">
        <v>29.85</v>
      </c>
    </row>
    <row r="1237" spans="1:7" x14ac:dyDescent="0.25">
      <c r="A1237" s="2" t="str">
        <f>"00083945"</f>
        <v>00083945</v>
      </c>
      <c r="B1237" s="2" t="str">
        <f t="shared" si="44"/>
        <v xml:space="preserve">  </v>
      </c>
      <c r="C1237" s="1" t="s">
        <v>947</v>
      </c>
      <c r="D1237" s="1" t="s">
        <v>0</v>
      </c>
      <c r="E1237" s="1" t="s">
        <v>12</v>
      </c>
      <c r="F1237" s="2" t="s">
        <v>0</v>
      </c>
      <c r="G1237" s="3">
        <v>14.45</v>
      </c>
    </row>
    <row r="1238" spans="1:7" x14ac:dyDescent="0.25">
      <c r="A1238" s="2" t="str">
        <f>"00083950"</f>
        <v>00083950</v>
      </c>
      <c r="B1238" s="2" t="str">
        <f t="shared" si="44"/>
        <v xml:space="preserve">  </v>
      </c>
      <c r="C1238" s="1" t="s">
        <v>948</v>
      </c>
      <c r="D1238" s="1" t="s">
        <v>0</v>
      </c>
      <c r="E1238" s="1" t="s">
        <v>12</v>
      </c>
      <c r="F1238" s="2" t="s">
        <v>0</v>
      </c>
      <c r="G1238" s="3">
        <v>64.41</v>
      </c>
    </row>
    <row r="1239" spans="1:7" ht="43.5" x14ac:dyDescent="0.25">
      <c r="A1239" s="2" t="str">
        <f>"00083951"</f>
        <v>00083951</v>
      </c>
      <c r="B1239" s="2" t="str">
        <f t="shared" si="44"/>
        <v xml:space="preserve">  </v>
      </c>
      <c r="C1239" s="1" t="s">
        <v>949</v>
      </c>
      <c r="D1239" s="1" t="s">
        <v>0</v>
      </c>
      <c r="E1239" s="1" t="s">
        <v>12</v>
      </c>
      <c r="F1239" s="2" t="s">
        <v>0</v>
      </c>
      <c r="G1239" s="3">
        <v>64.41</v>
      </c>
    </row>
    <row r="1240" spans="1:7" ht="29.25" x14ac:dyDescent="0.25">
      <c r="A1240" s="2" t="str">
        <f>"00083970"</f>
        <v>00083970</v>
      </c>
      <c r="B1240" s="2" t="str">
        <f t="shared" si="44"/>
        <v xml:space="preserve">  </v>
      </c>
      <c r="C1240" s="1" t="s">
        <v>950</v>
      </c>
      <c r="D1240" s="1" t="s">
        <v>0</v>
      </c>
      <c r="E1240" s="1" t="s">
        <v>12</v>
      </c>
      <c r="F1240" s="2" t="s">
        <v>0</v>
      </c>
      <c r="G1240" s="3">
        <v>41.28</v>
      </c>
    </row>
    <row r="1241" spans="1:7" ht="29.25" x14ac:dyDescent="0.25">
      <c r="A1241" s="2" t="str">
        <f>"00083986"</f>
        <v>00083986</v>
      </c>
      <c r="B1241" s="2" t="str">
        <f t="shared" si="44"/>
        <v xml:space="preserve">  </v>
      </c>
      <c r="C1241" s="1" t="s">
        <v>951</v>
      </c>
      <c r="D1241" s="1" t="s">
        <v>0</v>
      </c>
      <c r="E1241" s="1" t="s">
        <v>12</v>
      </c>
      <c r="F1241" s="2" t="s">
        <v>0</v>
      </c>
      <c r="G1241" s="3">
        <v>3.58</v>
      </c>
    </row>
    <row r="1242" spans="1:7" ht="29.25" x14ac:dyDescent="0.25">
      <c r="A1242" s="2" t="str">
        <f>"00083986"</f>
        <v>00083986</v>
      </c>
      <c r="B1242" s="2" t="str">
        <f>"QW"</f>
        <v>QW</v>
      </c>
      <c r="C1242" s="1" t="s">
        <v>951</v>
      </c>
      <c r="D1242" s="1" t="s">
        <v>0</v>
      </c>
      <c r="E1242" s="1" t="s">
        <v>12</v>
      </c>
      <c r="F1242" s="2" t="s">
        <v>0</v>
      </c>
      <c r="G1242" s="3">
        <v>3.58</v>
      </c>
    </row>
    <row r="1243" spans="1:7" ht="29.25" x14ac:dyDescent="0.25">
      <c r="A1243" s="2" t="str">
        <f>"00083987"</f>
        <v>00083987</v>
      </c>
      <c r="B1243" s="2" t="str">
        <f t="shared" ref="B1243:B1250" si="45">"  "</f>
        <v xml:space="preserve">  </v>
      </c>
      <c r="C1243" s="1" t="s">
        <v>952</v>
      </c>
      <c r="D1243" s="1" t="s">
        <v>0</v>
      </c>
      <c r="E1243" s="1" t="s">
        <v>12</v>
      </c>
      <c r="F1243" s="2" t="s">
        <v>0</v>
      </c>
      <c r="G1243" s="3">
        <v>3.58</v>
      </c>
    </row>
    <row r="1244" spans="1:7" x14ac:dyDescent="0.25">
      <c r="A1244" s="2" t="str">
        <f>"00083992"</f>
        <v>00083992</v>
      </c>
      <c r="B1244" s="2" t="str">
        <f t="shared" si="45"/>
        <v xml:space="preserve">  </v>
      </c>
      <c r="C1244" s="1" t="s">
        <v>953</v>
      </c>
      <c r="D1244" s="1" t="s">
        <v>0</v>
      </c>
      <c r="E1244" s="1" t="s">
        <v>12</v>
      </c>
      <c r="F1244" s="2" t="s">
        <v>0</v>
      </c>
      <c r="G1244" s="3">
        <v>11.99</v>
      </c>
    </row>
    <row r="1245" spans="1:7" x14ac:dyDescent="0.25">
      <c r="A1245" s="2" t="str">
        <f>"00083993"</f>
        <v>00083993</v>
      </c>
      <c r="B1245" s="2" t="str">
        <f t="shared" si="45"/>
        <v xml:space="preserve">  </v>
      </c>
      <c r="C1245" s="1" t="s">
        <v>954</v>
      </c>
      <c r="D1245" s="1" t="s">
        <v>0</v>
      </c>
      <c r="E1245" s="1" t="s">
        <v>12</v>
      </c>
      <c r="F1245" s="2" t="s">
        <v>0</v>
      </c>
      <c r="G1245" s="3">
        <v>19.63</v>
      </c>
    </row>
    <row r="1246" spans="1:7" ht="29.25" x14ac:dyDescent="0.25">
      <c r="A1246" s="2" t="str">
        <f>"00084030"</f>
        <v>00084030</v>
      </c>
      <c r="B1246" s="2" t="str">
        <f t="shared" si="45"/>
        <v xml:space="preserve">  </v>
      </c>
      <c r="C1246" s="1" t="s">
        <v>955</v>
      </c>
      <c r="D1246" s="1" t="s">
        <v>0</v>
      </c>
      <c r="E1246" s="1" t="s">
        <v>12</v>
      </c>
      <c r="F1246" s="2" t="s">
        <v>0</v>
      </c>
      <c r="G1246" s="3">
        <v>5.5</v>
      </c>
    </row>
    <row r="1247" spans="1:7" ht="29.25" x14ac:dyDescent="0.25">
      <c r="A1247" s="2" t="str">
        <f>"00084035"</f>
        <v>00084035</v>
      </c>
      <c r="B1247" s="2" t="str">
        <f t="shared" si="45"/>
        <v xml:space="preserve">  </v>
      </c>
      <c r="C1247" s="1" t="s">
        <v>956</v>
      </c>
      <c r="D1247" s="1" t="s">
        <v>0</v>
      </c>
      <c r="E1247" s="1" t="s">
        <v>12</v>
      </c>
      <c r="F1247" s="2" t="s">
        <v>0</v>
      </c>
      <c r="G1247" s="3">
        <v>3.98</v>
      </c>
    </row>
    <row r="1248" spans="1:7" ht="43.5" x14ac:dyDescent="0.25">
      <c r="A1248" s="2" t="str">
        <f>"00084060"</f>
        <v>00084060</v>
      </c>
      <c r="B1248" s="2" t="str">
        <f t="shared" si="45"/>
        <v xml:space="preserve">  </v>
      </c>
      <c r="C1248" s="1" t="s">
        <v>957</v>
      </c>
      <c r="D1248" s="1" t="s">
        <v>0</v>
      </c>
      <c r="E1248" s="1" t="s">
        <v>12</v>
      </c>
      <c r="F1248" s="2" t="s">
        <v>0</v>
      </c>
      <c r="G1248" s="3">
        <v>7.64</v>
      </c>
    </row>
    <row r="1249" spans="1:7" x14ac:dyDescent="0.25">
      <c r="A1249" s="2" t="str">
        <f>"00084066"</f>
        <v>00084066</v>
      </c>
      <c r="B1249" s="2" t="str">
        <f t="shared" si="45"/>
        <v xml:space="preserve">  </v>
      </c>
      <c r="C1249" s="1" t="s">
        <v>958</v>
      </c>
      <c r="D1249" s="1" t="s">
        <v>0</v>
      </c>
      <c r="E1249" s="1" t="s">
        <v>12</v>
      </c>
      <c r="F1249" s="2" t="s">
        <v>0</v>
      </c>
      <c r="G1249" s="3">
        <v>9.66</v>
      </c>
    </row>
    <row r="1250" spans="1:7" ht="29.25" x14ac:dyDescent="0.25">
      <c r="A1250" s="2" t="str">
        <f>"00084075"</f>
        <v>00084075</v>
      </c>
      <c r="B1250" s="2" t="str">
        <f t="shared" si="45"/>
        <v xml:space="preserve">  </v>
      </c>
      <c r="C1250" s="1" t="s">
        <v>959</v>
      </c>
      <c r="D1250" s="1" t="s">
        <v>0</v>
      </c>
      <c r="E1250" s="1" t="s">
        <v>12</v>
      </c>
      <c r="F1250" s="2" t="s">
        <v>0</v>
      </c>
      <c r="G1250" s="3">
        <v>5.18</v>
      </c>
    </row>
    <row r="1251" spans="1:7" x14ac:dyDescent="0.25">
      <c r="A1251" s="2" t="str">
        <f>"00084075"</f>
        <v>00084075</v>
      </c>
      <c r="B1251" s="2" t="str">
        <f>"QW"</f>
        <v>QW</v>
      </c>
      <c r="C1251" s="1" t="s">
        <v>960</v>
      </c>
      <c r="D1251" s="1" t="s">
        <v>0</v>
      </c>
      <c r="E1251" s="1" t="s">
        <v>12</v>
      </c>
      <c r="F1251" s="2" t="s">
        <v>0</v>
      </c>
      <c r="G1251" s="3">
        <v>5.18</v>
      </c>
    </row>
    <row r="1252" spans="1:7" ht="43.5" x14ac:dyDescent="0.25">
      <c r="A1252" s="2" t="str">
        <f>"00084078"</f>
        <v>00084078</v>
      </c>
      <c r="B1252" s="2" t="str">
        <f t="shared" ref="B1252:B1265" si="46">"  "</f>
        <v xml:space="preserve">  </v>
      </c>
      <c r="C1252" s="1" t="s">
        <v>961</v>
      </c>
      <c r="D1252" s="1" t="s">
        <v>0</v>
      </c>
      <c r="E1252" s="1" t="s">
        <v>12</v>
      </c>
      <c r="F1252" s="2" t="s">
        <v>0</v>
      </c>
      <c r="G1252" s="3">
        <v>8.26</v>
      </c>
    </row>
    <row r="1253" spans="1:7" ht="29.25" x14ac:dyDescent="0.25">
      <c r="A1253" s="2" t="str">
        <f>"00084080"</f>
        <v>00084080</v>
      </c>
      <c r="B1253" s="2" t="str">
        <f t="shared" si="46"/>
        <v xml:space="preserve">  </v>
      </c>
      <c r="C1253" s="1" t="s">
        <v>962</v>
      </c>
      <c r="D1253" s="1" t="s">
        <v>0</v>
      </c>
      <c r="E1253" s="1" t="s">
        <v>12</v>
      </c>
      <c r="F1253" s="2" t="s">
        <v>0</v>
      </c>
      <c r="G1253" s="3">
        <v>14.78</v>
      </c>
    </row>
    <row r="1254" spans="1:7" x14ac:dyDescent="0.25">
      <c r="A1254" s="2" t="str">
        <f>"00084081"</f>
        <v>00084081</v>
      </c>
      <c r="B1254" s="2" t="str">
        <f t="shared" si="46"/>
        <v xml:space="preserve">  </v>
      </c>
      <c r="C1254" s="1" t="s">
        <v>963</v>
      </c>
      <c r="D1254" s="1" t="s">
        <v>0</v>
      </c>
      <c r="E1254" s="1" t="s">
        <v>12</v>
      </c>
      <c r="F1254" s="2" t="s">
        <v>0</v>
      </c>
      <c r="G1254" s="3">
        <v>16.52</v>
      </c>
    </row>
    <row r="1255" spans="1:7" ht="29.25" x14ac:dyDescent="0.25">
      <c r="A1255" s="2" t="str">
        <f>"00084085"</f>
        <v>00084085</v>
      </c>
      <c r="B1255" s="2" t="str">
        <f t="shared" si="46"/>
        <v xml:space="preserve">  </v>
      </c>
      <c r="C1255" s="1" t="s">
        <v>964</v>
      </c>
      <c r="D1255" s="1" t="s">
        <v>0</v>
      </c>
      <c r="E1255" s="1" t="s">
        <v>12</v>
      </c>
      <c r="F1255" s="2" t="s">
        <v>0</v>
      </c>
      <c r="G1255" s="3">
        <v>9.44</v>
      </c>
    </row>
    <row r="1256" spans="1:7" ht="29.25" x14ac:dyDescent="0.25">
      <c r="A1256" s="2" t="str">
        <f>"00084087"</f>
        <v>00084087</v>
      </c>
      <c r="B1256" s="2" t="str">
        <f t="shared" si="46"/>
        <v xml:space="preserve">  </v>
      </c>
      <c r="C1256" s="1" t="s">
        <v>965</v>
      </c>
      <c r="D1256" s="1" t="s">
        <v>0</v>
      </c>
      <c r="E1256" s="1" t="s">
        <v>12</v>
      </c>
      <c r="F1256" s="2" t="s">
        <v>0</v>
      </c>
      <c r="G1256" s="3">
        <v>10.73</v>
      </c>
    </row>
    <row r="1257" spans="1:7" ht="43.5" x14ac:dyDescent="0.25">
      <c r="A1257" s="2" t="str">
        <f>"00084100"</f>
        <v>00084100</v>
      </c>
      <c r="B1257" s="2" t="str">
        <f t="shared" si="46"/>
        <v xml:space="preserve">  </v>
      </c>
      <c r="C1257" s="1" t="s">
        <v>966</v>
      </c>
      <c r="D1257" s="1" t="s">
        <v>0</v>
      </c>
      <c r="E1257" s="1" t="s">
        <v>12</v>
      </c>
      <c r="F1257" s="2" t="s">
        <v>0</v>
      </c>
      <c r="G1257" s="3">
        <v>4.74</v>
      </c>
    </row>
    <row r="1258" spans="1:7" x14ac:dyDescent="0.25">
      <c r="A1258" s="2" t="str">
        <f>"00084105"</f>
        <v>00084105</v>
      </c>
      <c r="B1258" s="2" t="str">
        <f t="shared" si="46"/>
        <v xml:space="preserve">  </v>
      </c>
      <c r="C1258" s="1" t="s">
        <v>967</v>
      </c>
      <c r="D1258" s="1" t="s">
        <v>0</v>
      </c>
      <c r="E1258" s="1" t="s">
        <v>12</v>
      </c>
      <c r="F1258" s="2" t="s">
        <v>0</v>
      </c>
      <c r="G1258" s="3">
        <v>5.78</v>
      </c>
    </row>
    <row r="1259" spans="1:7" ht="29.25" x14ac:dyDescent="0.25">
      <c r="A1259" s="2" t="str">
        <f>"00084106"</f>
        <v>00084106</v>
      </c>
      <c r="B1259" s="2" t="str">
        <f t="shared" si="46"/>
        <v xml:space="preserve">  </v>
      </c>
      <c r="C1259" s="1" t="s">
        <v>968</v>
      </c>
      <c r="D1259" s="1" t="s">
        <v>0</v>
      </c>
      <c r="E1259" s="1" t="s">
        <v>12</v>
      </c>
      <c r="F1259" s="2" t="s">
        <v>0</v>
      </c>
      <c r="G1259" s="3">
        <v>5.82</v>
      </c>
    </row>
    <row r="1260" spans="1:7" x14ac:dyDescent="0.25">
      <c r="A1260" s="2" t="str">
        <f>"00084110"</f>
        <v>00084110</v>
      </c>
      <c r="B1260" s="2" t="str">
        <f t="shared" si="46"/>
        <v xml:space="preserve">  </v>
      </c>
      <c r="C1260" s="1" t="s">
        <v>969</v>
      </c>
      <c r="D1260" s="1" t="s">
        <v>0</v>
      </c>
      <c r="E1260" s="1" t="s">
        <v>12</v>
      </c>
      <c r="F1260" s="2" t="s">
        <v>0</v>
      </c>
      <c r="G1260" s="3">
        <v>8.44</v>
      </c>
    </row>
    <row r="1261" spans="1:7" ht="57.75" x14ac:dyDescent="0.25">
      <c r="A1261" s="2" t="str">
        <f>"00084112"</f>
        <v>00084112</v>
      </c>
      <c r="B1261" s="2" t="str">
        <f t="shared" si="46"/>
        <v xml:space="preserve">  </v>
      </c>
      <c r="C1261" s="1" t="s">
        <v>970</v>
      </c>
      <c r="D1261" s="1" t="s">
        <v>0</v>
      </c>
      <c r="E1261" s="1" t="s">
        <v>14</v>
      </c>
      <c r="F1261" s="2" t="s">
        <v>0</v>
      </c>
      <c r="G1261" s="17" t="s">
        <v>1769</v>
      </c>
    </row>
    <row r="1262" spans="1:7" ht="29.25" x14ac:dyDescent="0.25">
      <c r="A1262" s="2" t="str">
        <f>"00084119"</f>
        <v>00084119</v>
      </c>
      <c r="B1262" s="2" t="str">
        <f t="shared" si="46"/>
        <v xml:space="preserve">  </v>
      </c>
      <c r="C1262" s="1" t="s">
        <v>971</v>
      </c>
      <c r="D1262" s="1" t="s">
        <v>0</v>
      </c>
      <c r="E1262" s="1" t="s">
        <v>12</v>
      </c>
      <c r="F1262" s="2" t="s">
        <v>0</v>
      </c>
      <c r="G1262" s="3">
        <v>13.36</v>
      </c>
    </row>
    <row r="1263" spans="1:7" ht="43.5" x14ac:dyDescent="0.25">
      <c r="A1263" s="2" t="str">
        <f>"00084120"</f>
        <v>00084120</v>
      </c>
      <c r="B1263" s="2" t="str">
        <f t="shared" si="46"/>
        <v xml:space="preserve">  </v>
      </c>
      <c r="C1263" s="1" t="s">
        <v>972</v>
      </c>
      <c r="D1263" s="1" t="s">
        <v>0</v>
      </c>
      <c r="E1263" s="1" t="s">
        <v>12</v>
      </c>
      <c r="F1263" s="2" t="s">
        <v>0</v>
      </c>
      <c r="G1263" s="3">
        <v>14.71</v>
      </c>
    </row>
    <row r="1264" spans="1:7" ht="29.25" x14ac:dyDescent="0.25">
      <c r="A1264" s="2" t="str">
        <f>"00084126"</f>
        <v>00084126</v>
      </c>
      <c r="B1264" s="2" t="str">
        <f t="shared" si="46"/>
        <v xml:space="preserve">  </v>
      </c>
      <c r="C1264" s="1" t="s">
        <v>973</v>
      </c>
      <c r="D1264" s="1" t="s">
        <v>0</v>
      </c>
      <c r="E1264" s="1" t="s">
        <v>12</v>
      </c>
      <c r="F1264" s="2" t="s">
        <v>0</v>
      </c>
      <c r="G1264" s="3">
        <v>39.11</v>
      </c>
    </row>
    <row r="1265" spans="1:7" ht="29.25" x14ac:dyDescent="0.25">
      <c r="A1265" s="2" t="str">
        <f>"00084132"</f>
        <v>00084132</v>
      </c>
      <c r="B1265" s="2" t="str">
        <f t="shared" si="46"/>
        <v xml:space="preserve">  </v>
      </c>
      <c r="C1265" s="1" t="s">
        <v>974</v>
      </c>
      <c r="D1265" s="1" t="s">
        <v>0</v>
      </c>
      <c r="E1265" s="1" t="s">
        <v>12</v>
      </c>
      <c r="F1265" s="2" t="s">
        <v>0</v>
      </c>
      <c r="G1265" s="3">
        <v>4.76</v>
      </c>
    </row>
    <row r="1266" spans="1:7" ht="29.25" x14ac:dyDescent="0.25">
      <c r="A1266" s="2" t="str">
        <f>"00084132"</f>
        <v>00084132</v>
      </c>
      <c r="B1266" s="2" t="str">
        <f>"QW"</f>
        <v>QW</v>
      </c>
      <c r="C1266" s="1" t="s">
        <v>975</v>
      </c>
      <c r="D1266" s="1" t="s">
        <v>0</v>
      </c>
      <c r="E1266" s="1" t="s">
        <v>12</v>
      </c>
      <c r="F1266" s="2" t="s">
        <v>0</v>
      </c>
      <c r="G1266" s="3">
        <v>4.76</v>
      </c>
    </row>
    <row r="1267" spans="1:7" x14ac:dyDescent="0.25">
      <c r="A1267" s="2" t="str">
        <f>"00084133"</f>
        <v>00084133</v>
      </c>
      <c r="B1267" s="2" t="str">
        <f t="shared" ref="B1267:B1280" si="47">"  "</f>
        <v xml:space="preserve">  </v>
      </c>
      <c r="C1267" s="1" t="s">
        <v>976</v>
      </c>
      <c r="D1267" s="1" t="s">
        <v>0</v>
      </c>
      <c r="E1267" s="1" t="s">
        <v>12</v>
      </c>
      <c r="F1267" s="2" t="s">
        <v>0</v>
      </c>
      <c r="G1267" s="3">
        <v>4.7300000000000004</v>
      </c>
    </row>
    <row r="1268" spans="1:7" x14ac:dyDescent="0.25">
      <c r="A1268" s="2" t="str">
        <f>"00084134"</f>
        <v>00084134</v>
      </c>
      <c r="B1268" s="2" t="str">
        <f t="shared" si="47"/>
        <v xml:space="preserve">  </v>
      </c>
      <c r="C1268" s="1" t="s">
        <v>977</v>
      </c>
      <c r="D1268" s="1" t="s">
        <v>0</v>
      </c>
      <c r="E1268" s="1" t="s">
        <v>12</v>
      </c>
      <c r="F1268" s="2" t="s">
        <v>0</v>
      </c>
      <c r="G1268" s="3">
        <v>14.59</v>
      </c>
    </row>
    <row r="1269" spans="1:7" x14ac:dyDescent="0.25">
      <c r="A1269" s="2" t="str">
        <f>"00084135"</f>
        <v>00084135</v>
      </c>
      <c r="B1269" s="2" t="str">
        <f t="shared" si="47"/>
        <v xml:space="preserve">  </v>
      </c>
      <c r="C1269" s="1" t="s">
        <v>978</v>
      </c>
      <c r="D1269" s="1" t="s">
        <v>0</v>
      </c>
      <c r="E1269" s="1" t="s">
        <v>12</v>
      </c>
      <c r="F1269" s="2" t="s">
        <v>0</v>
      </c>
      <c r="G1269" s="3">
        <v>21.27</v>
      </c>
    </row>
    <row r="1270" spans="1:7" x14ac:dyDescent="0.25">
      <c r="A1270" s="2" t="str">
        <f>"00084138"</f>
        <v>00084138</v>
      </c>
      <c r="B1270" s="2" t="str">
        <f t="shared" si="47"/>
        <v xml:space="preserve">  </v>
      </c>
      <c r="C1270" s="1" t="s">
        <v>979</v>
      </c>
      <c r="D1270" s="1" t="s">
        <v>0</v>
      </c>
      <c r="E1270" s="1" t="s">
        <v>12</v>
      </c>
      <c r="F1270" s="2" t="s">
        <v>0</v>
      </c>
      <c r="G1270" s="3">
        <v>21.05</v>
      </c>
    </row>
    <row r="1271" spans="1:7" x14ac:dyDescent="0.25">
      <c r="A1271" s="2" t="str">
        <f>"00084140"</f>
        <v>00084140</v>
      </c>
      <c r="B1271" s="2" t="str">
        <f t="shared" si="47"/>
        <v xml:space="preserve">  </v>
      </c>
      <c r="C1271" s="1" t="s">
        <v>980</v>
      </c>
      <c r="D1271" s="1" t="s">
        <v>0</v>
      </c>
      <c r="E1271" s="1" t="s">
        <v>12</v>
      </c>
      <c r="F1271" s="2" t="s">
        <v>0</v>
      </c>
      <c r="G1271" s="3">
        <v>20.67</v>
      </c>
    </row>
    <row r="1272" spans="1:7" ht="29.25" x14ac:dyDescent="0.25">
      <c r="A1272" s="2" t="str">
        <f>"00084143"</f>
        <v>00084143</v>
      </c>
      <c r="B1272" s="2" t="str">
        <f t="shared" si="47"/>
        <v xml:space="preserve">  </v>
      </c>
      <c r="C1272" s="1" t="s">
        <v>981</v>
      </c>
      <c r="D1272" s="1" t="s">
        <v>0</v>
      </c>
      <c r="E1272" s="1" t="s">
        <v>12</v>
      </c>
      <c r="F1272" s="2" t="s">
        <v>0</v>
      </c>
      <c r="G1272" s="3">
        <v>22.81</v>
      </c>
    </row>
    <row r="1273" spans="1:7" x14ac:dyDescent="0.25">
      <c r="A1273" s="2" t="str">
        <f>"00084144"</f>
        <v>00084144</v>
      </c>
      <c r="B1273" s="2" t="str">
        <f t="shared" si="47"/>
        <v xml:space="preserve">  </v>
      </c>
      <c r="C1273" s="1" t="s">
        <v>982</v>
      </c>
      <c r="D1273" s="1" t="s">
        <v>0</v>
      </c>
      <c r="E1273" s="1" t="s">
        <v>12</v>
      </c>
      <c r="F1273" s="2" t="s">
        <v>0</v>
      </c>
      <c r="G1273" s="3">
        <v>20.86</v>
      </c>
    </row>
    <row r="1274" spans="1:7" x14ac:dyDescent="0.25">
      <c r="A1274" s="2" t="str">
        <f>"00084145"</f>
        <v>00084145</v>
      </c>
      <c r="B1274" s="2" t="str">
        <f t="shared" si="47"/>
        <v xml:space="preserve">  </v>
      </c>
      <c r="C1274" s="1" t="s">
        <v>983</v>
      </c>
      <c r="D1274" s="1" t="s">
        <v>0</v>
      </c>
      <c r="E1274" s="1" t="s">
        <v>12</v>
      </c>
      <c r="F1274" s="2" t="s">
        <v>0</v>
      </c>
      <c r="G1274" s="3">
        <v>27.22</v>
      </c>
    </row>
    <row r="1275" spans="1:7" x14ac:dyDescent="0.25">
      <c r="A1275" s="2" t="str">
        <f>"00084146"</f>
        <v>00084146</v>
      </c>
      <c r="B1275" s="2" t="str">
        <f t="shared" si="47"/>
        <v xml:space="preserve">  </v>
      </c>
      <c r="C1275" s="1" t="s">
        <v>984</v>
      </c>
      <c r="D1275" s="1" t="s">
        <v>0</v>
      </c>
      <c r="E1275" s="1" t="s">
        <v>12</v>
      </c>
      <c r="F1275" s="2" t="s">
        <v>0</v>
      </c>
      <c r="G1275" s="3">
        <v>19.38</v>
      </c>
    </row>
    <row r="1276" spans="1:7" x14ac:dyDescent="0.25">
      <c r="A1276" s="2" t="str">
        <f>"00084150"</f>
        <v>00084150</v>
      </c>
      <c r="B1276" s="2" t="str">
        <f t="shared" si="47"/>
        <v xml:space="preserve">  </v>
      </c>
      <c r="C1276" s="1" t="s">
        <v>985</v>
      </c>
      <c r="D1276" s="1" t="s">
        <v>0</v>
      </c>
      <c r="E1276" s="1" t="s">
        <v>12</v>
      </c>
      <c r="F1276" s="2" t="s">
        <v>0</v>
      </c>
      <c r="G1276" s="3">
        <v>41.77</v>
      </c>
    </row>
    <row r="1277" spans="1:7" ht="43.5" x14ac:dyDescent="0.25">
      <c r="A1277" s="2" t="str">
        <f>"00084152"</f>
        <v>00084152</v>
      </c>
      <c r="B1277" s="2" t="str">
        <f t="shared" si="47"/>
        <v xml:space="preserve">  </v>
      </c>
      <c r="C1277" s="1" t="s">
        <v>986</v>
      </c>
      <c r="D1277" s="1" t="s">
        <v>0</v>
      </c>
      <c r="E1277" s="1" t="s">
        <v>12</v>
      </c>
      <c r="F1277" s="2" t="s">
        <v>0</v>
      </c>
      <c r="G1277" s="3">
        <v>18.39</v>
      </c>
    </row>
    <row r="1278" spans="1:7" ht="29.25" x14ac:dyDescent="0.25">
      <c r="A1278" s="2" t="str">
        <f>"00084153"</f>
        <v>00084153</v>
      </c>
      <c r="B1278" s="2" t="str">
        <f t="shared" si="47"/>
        <v xml:space="preserve">  </v>
      </c>
      <c r="C1278" s="1" t="s">
        <v>987</v>
      </c>
      <c r="D1278" s="1" t="s">
        <v>0</v>
      </c>
      <c r="E1278" s="1" t="s">
        <v>12</v>
      </c>
      <c r="F1278" s="2" t="s">
        <v>0</v>
      </c>
      <c r="G1278" s="3">
        <v>18.39</v>
      </c>
    </row>
    <row r="1279" spans="1:7" ht="29.25" x14ac:dyDescent="0.25">
      <c r="A1279" s="2" t="str">
        <f>"00084154"</f>
        <v>00084154</v>
      </c>
      <c r="B1279" s="2" t="str">
        <f t="shared" si="47"/>
        <v xml:space="preserve">  </v>
      </c>
      <c r="C1279" s="1" t="s">
        <v>988</v>
      </c>
      <c r="D1279" s="1" t="s">
        <v>0</v>
      </c>
      <c r="E1279" s="1" t="s">
        <v>12</v>
      </c>
      <c r="F1279" s="2" t="s">
        <v>0</v>
      </c>
      <c r="G1279" s="3">
        <v>18.39</v>
      </c>
    </row>
    <row r="1280" spans="1:7" ht="57.75" x14ac:dyDescent="0.25">
      <c r="A1280" s="2" t="str">
        <f>"00084155"</f>
        <v>00084155</v>
      </c>
      <c r="B1280" s="2" t="str">
        <f t="shared" si="47"/>
        <v xml:space="preserve">  </v>
      </c>
      <c r="C1280" s="1" t="s">
        <v>989</v>
      </c>
      <c r="D1280" s="1" t="s">
        <v>0</v>
      </c>
      <c r="E1280" s="1" t="s">
        <v>12</v>
      </c>
      <c r="F1280" s="2" t="s">
        <v>0</v>
      </c>
      <c r="G1280" s="3">
        <v>3.67</v>
      </c>
    </row>
    <row r="1281" spans="1:7" ht="57.75" x14ac:dyDescent="0.25">
      <c r="A1281" s="2" t="str">
        <f>"00084155"</f>
        <v>00084155</v>
      </c>
      <c r="B1281" s="2" t="str">
        <f>"QW"</f>
        <v>QW</v>
      </c>
      <c r="C1281" s="1" t="s">
        <v>990</v>
      </c>
      <c r="D1281" s="1" t="s">
        <v>0</v>
      </c>
      <c r="E1281" s="1" t="s">
        <v>12</v>
      </c>
      <c r="F1281" s="2" t="s">
        <v>0</v>
      </c>
      <c r="G1281" s="3">
        <v>3.67</v>
      </c>
    </row>
    <row r="1282" spans="1:7" ht="43.5" x14ac:dyDescent="0.25">
      <c r="A1282" s="2" t="str">
        <f>"00084156"</f>
        <v>00084156</v>
      </c>
      <c r="B1282" s="2" t="str">
        <f>"  "</f>
        <v xml:space="preserve">  </v>
      </c>
      <c r="C1282" s="1" t="s">
        <v>991</v>
      </c>
      <c r="D1282" s="1" t="s">
        <v>0</v>
      </c>
      <c r="E1282" s="1" t="s">
        <v>12</v>
      </c>
      <c r="F1282" s="2" t="s">
        <v>0</v>
      </c>
      <c r="G1282" s="3">
        <v>3.67</v>
      </c>
    </row>
    <row r="1283" spans="1:7" ht="72" x14ac:dyDescent="0.25">
      <c r="A1283" s="2" t="str">
        <f>"00084157"</f>
        <v>00084157</v>
      </c>
      <c r="B1283" s="2" t="str">
        <f>"  "</f>
        <v xml:space="preserve">  </v>
      </c>
      <c r="C1283" s="1" t="s">
        <v>992</v>
      </c>
      <c r="D1283" s="1" t="s">
        <v>0</v>
      </c>
      <c r="E1283" s="1" t="s">
        <v>12</v>
      </c>
      <c r="F1283" s="2" t="s">
        <v>0</v>
      </c>
      <c r="G1283" s="3">
        <v>4</v>
      </c>
    </row>
    <row r="1284" spans="1:7" ht="72" x14ac:dyDescent="0.25">
      <c r="A1284" s="2" t="str">
        <f>"00084157"</f>
        <v>00084157</v>
      </c>
      <c r="B1284" s="2" t="str">
        <f>"QW"</f>
        <v>QW</v>
      </c>
      <c r="C1284" s="1" t="s">
        <v>992</v>
      </c>
      <c r="D1284" s="1" t="s">
        <v>0</v>
      </c>
      <c r="E1284" s="1" t="s">
        <v>12</v>
      </c>
      <c r="F1284" s="2" t="s">
        <v>0</v>
      </c>
      <c r="G1284" s="3">
        <v>4</v>
      </c>
    </row>
    <row r="1285" spans="1:7" ht="43.5" x14ac:dyDescent="0.25">
      <c r="A1285" s="2" t="str">
        <f>"00084160"</f>
        <v>00084160</v>
      </c>
      <c r="B1285" s="2" t="str">
        <f t="shared" ref="B1285:B1309" si="48">"  "</f>
        <v xml:space="preserve">  </v>
      </c>
      <c r="C1285" s="1" t="s">
        <v>993</v>
      </c>
      <c r="D1285" s="1" t="s">
        <v>0</v>
      </c>
      <c r="E1285" s="1" t="s">
        <v>12</v>
      </c>
      <c r="F1285" s="2" t="s">
        <v>0</v>
      </c>
      <c r="G1285" s="3">
        <v>5.61</v>
      </c>
    </row>
    <row r="1286" spans="1:7" ht="57.75" x14ac:dyDescent="0.25">
      <c r="A1286" s="2" t="str">
        <f>"00084163"</f>
        <v>00084163</v>
      </c>
      <c r="B1286" s="2" t="str">
        <f t="shared" si="48"/>
        <v xml:space="preserve">  </v>
      </c>
      <c r="C1286" s="1" t="s">
        <v>994</v>
      </c>
      <c r="D1286" s="1" t="s">
        <v>0</v>
      </c>
      <c r="E1286" s="1" t="s">
        <v>995</v>
      </c>
      <c r="F1286" s="2" t="s">
        <v>0</v>
      </c>
      <c r="G1286" s="3">
        <v>15.05</v>
      </c>
    </row>
    <row r="1287" spans="1:7" ht="57.75" x14ac:dyDescent="0.25">
      <c r="A1287" s="2" t="str">
        <f>"00084165"</f>
        <v>00084165</v>
      </c>
      <c r="B1287" s="2" t="str">
        <f t="shared" si="48"/>
        <v xml:space="preserve">  </v>
      </c>
      <c r="C1287" s="1" t="s">
        <v>996</v>
      </c>
      <c r="D1287" s="1" t="s">
        <v>0</v>
      </c>
      <c r="E1287" s="1" t="s">
        <v>12</v>
      </c>
      <c r="F1287" s="2" t="s">
        <v>0</v>
      </c>
      <c r="G1287" s="3">
        <v>10.74</v>
      </c>
    </row>
    <row r="1288" spans="1:7" ht="100.5" x14ac:dyDescent="0.25">
      <c r="A1288" s="2" t="str">
        <f>"00084166"</f>
        <v>00084166</v>
      </c>
      <c r="B1288" s="2" t="str">
        <f t="shared" si="48"/>
        <v xml:space="preserve">  </v>
      </c>
      <c r="C1288" s="1" t="s">
        <v>997</v>
      </c>
      <c r="D1288" s="1" t="s">
        <v>0</v>
      </c>
      <c r="E1288" s="1" t="s">
        <v>12</v>
      </c>
      <c r="F1288" s="2" t="s">
        <v>0</v>
      </c>
      <c r="G1288" s="3">
        <v>17.829999999999998</v>
      </c>
    </row>
    <row r="1289" spans="1:7" ht="57.75" x14ac:dyDescent="0.25">
      <c r="A1289" s="2" t="str">
        <f>"00084181"</f>
        <v>00084181</v>
      </c>
      <c r="B1289" s="2" t="str">
        <f t="shared" si="48"/>
        <v xml:space="preserve">  </v>
      </c>
      <c r="C1289" s="1" t="s">
        <v>998</v>
      </c>
      <c r="D1289" s="1" t="s">
        <v>0</v>
      </c>
      <c r="E1289" s="1" t="s">
        <v>12</v>
      </c>
      <c r="F1289" s="2" t="s">
        <v>0</v>
      </c>
      <c r="G1289" s="3">
        <v>17.03</v>
      </c>
    </row>
    <row r="1290" spans="1:7" ht="100.5" x14ac:dyDescent="0.25">
      <c r="A1290" s="2" t="str">
        <f>"00084182"</f>
        <v>00084182</v>
      </c>
      <c r="B1290" s="2" t="str">
        <f t="shared" si="48"/>
        <v xml:space="preserve">  </v>
      </c>
      <c r="C1290" s="1" t="s">
        <v>999</v>
      </c>
      <c r="D1290" s="1" t="s">
        <v>0</v>
      </c>
      <c r="E1290" s="1" t="s">
        <v>12</v>
      </c>
      <c r="F1290" s="2" t="s">
        <v>0</v>
      </c>
      <c r="G1290" s="3">
        <v>29.21</v>
      </c>
    </row>
    <row r="1291" spans="1:7" ht="43.5" x14ac:dyDescent="0.25">
      <c r="A1291" s="2" t="str">
        <f>"00084202"</f>
        <v>00084202</v>
      </c>
      <c r="B1291" s="2" t="str">
        <f t="shared" si="48"/>
        <v xml:space="preserve">  </v>
      </c>
      <c r="C1291" s="1" t="s">
        <v>1000</v>
      </c>
      <c r="D1291" s="1" t="s">
        <v>0</v>
      </c>
      <c r="E1291" s="1" t="s">
        <v>12</v>
      </c>
      <c r="F1291" s="2" t="s">
        <v>0</v>
      </c>
      <c r="G1291" s="3">
        <v>14.35</v>
      </c>
    </row>
    <row r="1292" spans="1:7" x14ac:dyDescent="0.25">
      <c r="A1292" s="2" t="str">
        <f>"00084203"</f>
        <v>00084203</v>
      </c>
      <c r="B1292" s="2" t="str">
        <f t="shared" si="48"/>
        <v xml:space="preserve">  </v>
      </c>
      <c r="C1292" s="1" t="s">
        <v>1001</v>
      </c>
      <c r="D1292" s="1" t="s">
        <v>0</v>
      </c>
      <c r="E1292" s="1" t="s">
        <v>12</v>
      </c>
      <c r="F1292" s="2" t="s">
        <v>0</v>
      </c>
      <c r="G1292" s="3">
        <v>9.74</v>
      </c>
    </row>
    <row r="1293" spans="1:7" x14ac:dyDescent="0.25">
      <c r="A1293" s="2" t="str">
        <f>"00084206"</f>
        <v>00084206</v>
      </c>
      <c r="B1293" s="2" t="str">
        <f t="shared" si="48"/>
        <v xml:space="preserve">  </v>
      </c>
      <c r="C1293" s="1" t="s">
        <v>1002</v>
      </c>
      <c r="D1293" s="1" t="s">
        <v>0</v>
      </c>
      <c r="E1293" s="1" t="s">
        <v>12</v>
      </c>
      <c r="F1293" s="2" t="s">
        <v>0</v>
      </c>
      <c r="G1293" s="3">
        <v>26.69</v>
      </c>
    </row>
    <row r="1294" spans="1:7" ht="29.25" x14ac:dyDescent="0.25">
      <c r="A1294" s="2" t="str">
        <f>"00084207"</f>
        <v>00084207</v>
      </c>
      <c r="B1294" s="2" t="str">
        <f t="shared" si="48"/>
        <v xml:space="preserve">  </v>
      </c>
      <c r="C1294" s="1" t="s">
        <v>1003</v>
      </c>
      <c r="D1294" s="1" t="s">
        <v>0</v>
      </c>
      <c r="E1294" s="1" t="s">
        <v>12</v>
      </c>
      <c r="F1294" s="2" t="s">
        <v>0</v>
      </c>
      <c r="G1294" s="3">
        <v>28.1</v>
      </c>
    </row>
    <row r="1295" spans="1:7" x14ac:dyDescent="0.25">
      <c r="A1295" s="2" t="str">
        <f>"00084210"</f>
        <v>00084210</v>
      </c>
      <c r="B1295" s="2" t="str">
        <f t="shared" si="48"/>
        <v xml:space="preserve">  </v>
      </c>
      <c r="C1295" s="1" t="s">
        <v>1004</v>
      </c>
      <c r="D1295" s="1" t="s">
        <v>0</v>
      </c>
      <c r="E1295" s="1" t="s">
        <v>12</v>
      </c>
      <c r="F1295" s="2" t="s">
        <v>0</v>
      </c>
      <c r="G1295" s="3">
        <v>14.48</v>
      </c>
    </row>
    <row r="1296" spans="1:7" x14ac:dyDescent="0.25">
      <c r="A1296" s="2" t="str">
        <f>"00084220"</f>
        <v>00084220</v>
      </c>
      <c r="B1296" s="2" t="str">
        <f t="shared" si="48"/>
        <v xml:space="preserve">  </v>
      </c>
      <c r="C1296" s="1" t="s">
        <v>1005</v>
      </c>
      <c r="D1296" s="1" t="s">
        <v>0</v>
      </c>
      <c r="E1296" s="1" t="s">
        <v>12</v>
      </c>
      <c r="F1296" s="2" t="s">
        <v>0</v>
      </c>
      <c r="G1296" s="3">
        <v>9.44</v>
      </c>
    </row>
    <row r="1297" spans="1:7" x14ac:dyDescent="0.25">
      <c r="A1297" s="2" t="str">
        <f>"00084228"</f>
        <v>00084228</v>
      </c>
      <c r="B1297" s="2" t="str">
        <f t="shared" si="48"/>
        <v xml:space="preserve">  </v>
      </c>
      <c r="C1297" s="1" t="s">
        <v>1006</v>
      </c>
      <c r="D1297" s="1" t="s">
        <v>0</v>
      </c>
      <c r="E1297" s="1" t="s">
        <v>12</v>
      </c>
      <c r="F1297" s="2" t="s">
        <v>0</v>
      </c>
      <c r="G1297" s="3">
        <v>11.63</v>
      </c>
    </row>
    <row r="1298" spans="1:7" ht="29.25" x14ac:dyDescent="0.25">
      <c r="A1298" s="2" t="str">
        <f>"00084233"</f>
        <v>00084233</v>
      </c>
      <c r="B1298" s="2" t="str">
        <f t="shared" si="48"/>
        <v xml:space="preserve">  </v>
      </c>
      <c r="C1298" s="1" t="s">
        <v>1007</v>
      </c>
      <c r="D1298" s="1" t="s">
        <v>0</v>
      </c>
      <c r="E1298" s="1" t="s">
        <v>12</v>
      </c>
      <c r="F1298" s="2" t="s">
        <v>0</v>
      </c>
      <c r="G1298" s="3">
        <v>87.88</v>
      </c>
    </row>
    <row r="1299" spans="1:7" ht="29.25" x14ac:dyDescent="0.25">
      <c r="A1299" s="2" t="str">
        <f>"00084234"</f>
        <v>00084234</v>
      </c>
      <c r="B1299" s="2" t="str">
        <f t="shared" si="48"/>
        <v xml:space="preserve">  </v>
      </c>
      <c r="C1299" s="1" t="s">
        <v>1008</v>
      </c>
      <c r="D1299" s="1" t="s">
        <v>0</v>
      </c>
      <c r="E1299" s="1" t="s">
        <v>12</v>
      </c>
      <c r="F1299" s="2" t="s">
        <v>0</v>
      </c>
      <c r="G1299" s="3">
        <v>64.88</v>
      </c>
    </row>
    <row r="1300" spans="1:7" ht="72" x14ac:dyDescent="0.25">
      <c r="A1300" s="2" t="str">
        <f>"00084235"</f>
        <v>00084235</v>
      </c>
      <c r="B1300" s="2" t="str">
        <f t="shared" si="48"/>
        <v xml:space="preserve">  </v>
      </c>
      <c r="C1300" s="1" t="s">
        <v>1009</v>
      </c>
      <c r="D1300" s="1" t="s">
        <v>0</v>
      </c>
      <c r="E1300" s="1" t="s">
        <v>12</v>
      </c>
      <c r="F1300" s="2" t="s">
        <v>0</v>
      </c>
      <c r="G1300" s="3">
        <v>71.23</v>
      </c>
    </row>
    <row r="1301" spans="1:7" ht="43.5" x14ac:dyDescent="0.25">
      <c r="A1301" s="2" t="str">
        <f>"00084238"</f>
        <v>00084238</v>
      </c>
      <c r="B1301" s="2" t="str">
        <f t="shared" si="48"/>
        <v xml:space="preserve">  </v>
      </c>
      <c r="C1301" s="1" t="s">
        <v>1010</v>
      </c>
      <c r="D1301" s="1" t="s">
        <v>0</v>
      </c>
      <c r="E1301" s="1" t="s">
        <v>12</v>
      </c>
      <c r="F1301" s="2" t="s">
        <v>0</v>
      </c>
      <c r="G1301" s="3">
        <v>36.57</v>
      </c>
    </row>
    <row r="1302" spans="1:7" x14ac:dyDescent="0.25">
      <c r="A1302" s="2" t="str">
        <f>"00084244"</f>
        <v>00084244</v>
      </c>
      <c r="B1302" s="2" t="str">
        <f t="shared" si="48"/>
        <v xml:space="preserve">  </v>
      </c>
      <c r="C1302" s="1" t="s">
        <v>1011</v>
      </c>
      <c r="D1302" s="1" t="s">
        <v>0</v>
      </c>
      <c r="E1302" s="1" t="s">
        <v>12</v>
      </c>
      <c r="F1302" s="2" t="s">
        <v>0</v>
      </c>
      <c r="G1302" s="3">
        <v>21.99</v>
      </c>
    </row>
    <row r="1303" spans="1:7" x14ac:dyDescent="0.25">
      <c r="A1303" s="2" t="str">
        <f>"00084252"</f>
        <v>00084252</v>
      </c>
      <c r="B1303" s="2" t="str">
        <f t="shared" si="48"/>
        <v xml:space="preserve">  </v>
      </c>
      <c r="C1303" s="1" t="s">
        <v>1012</v>
      </c>
      <c r="D1303" s="1" t="s">
        <v>0</v>
      </c>
      <c r="E1303" s="1" t="s">
        <v>12</v>
      </c>
      <c r="F1303" s="2" t="s">
        <v>0</v>
      </c>
      <c r="G1303" s="3">
        <v>20.239999999999998</v>
      </c>
    </row>
    <row r="1304" spans="1:7" x14ac:dyDescent="0.25">
      <c r="A1304" s="2" t="str">
        <f>"00084255"</f>
        <v>00084255</v>
      </c>
      <c r="B1304" s="2" t="str">
        <f t="shared" si="48"/>
        <v xml:space="preserve">  </v>
      </c>
      <c r="C1304" s="1" t="s">
        <v>1013</v>
      </c>
      <c r="D1304" s="1" t="s">
        <v>0</v>
      </c>
      <c r="E1304" s="1" t="s">
        <v>12</v>
      </c>
      <c r="F1304" s="2" t="s">
        <v>0</v>
      </c>
      <c r="G1304" s="3">
        <v>25.53</v>
      </c>
    </row>
    <row r="1305" spans="1:7" x14ac:dyDescent="0.25">
      <c r="A1305" s="2" t="str">
        <f>"00084260"</f>
        <v>00084260</v>
      </c>
      <c r="B1305" s="2" t="str">
        <f t="shared" si="48"/>
        <v xml:space="preserve">  </v>
      </c>
      <c r="C1305" s="1" t="s">
        <v>1014</v>
      </c>
      <c r="D1305" s="1" t="s">
        <v>0</v>
      </c>
      <c r="E1305" s="1" t="s">
        <v>12</v>
      </c>
      <c r="F1305" s="2" t="s">
        <v>0</v>
      </c>
      <c r="G1305" s="3">
        <v>30.98</v>
      </c>
    </row>
    <row r="1306" spans="1:7" ht="29.25" x14ac:dyDescent="0.25">
      <c r="A1306" s="2" t="str">
        <f>"00084270"</f>
        <v>00084270</v>
      </c>
      <c r="B1306" s="2" t="str">
        <f t="shared" si="48"/>
        <v xml:space="preserve">  </v>
      </c>
      <c r="C1306" s="1" t="s">
        <v>1015</v>
      </c>
      <c r="D1306" s="1" t="s">
        <v>0</v>
      </c>
      <c r="E1306" s="1" t="s">
        <v>12</v>
      </c>
      <c r="F1306" s="2" t="s">
        <v>0</v>
      </c>
      <c r="G1306" s="3">
        <v>21.73</v>
      </c>
    </row>
    <row r="1307" spans="1:7" x14ac:dyDescent="0.25">
      <c r="A1307" s="2" t="str">
        <f>"00084275"</f>
        <v>00084275</v>
      </c>
      <c r="B1307" s="2" t="str">
        <f t="shared" si="48"/>
        <v xml:space="preserve">  </v>
      </c>
      <c r="C1307" s="1" t="s">
        <v>1016</v>
      </c>
      <c r="D1307" s="1" t="s">
        <v>0</v>
      </c>
      <c r="E1307" s="1" t="s">
        <v>12</v>
      </c>
      <c r="F1307" s="2" t="s">
        <v>0</v>
      </c>
      <c r="G1307" s="3">
        <v>13.44</v>
      </c>
    </row>
    <row r="1308" spans="1:7" x14ac:dyDescent="0.25">
      <c r="A1308" s="2" t="str">
        <f>"00084285"</f>
        <v>00084285</v>
      </c>
      <c r="B1308" s="2" t="str">
        <f t="shared" si="48"/>
        <v xml:space="preserve">  </v>
      </c>
      <c r="C1308" s="1" t="s">
        <v>1017</v>
      </c>
      <c r="D1308" s="1" t="s">
        <v>0</v>
      </c>
      <c r="E1308" s="1" t="s">
        <v>12</v>
      </c>
      <c r="F1308" s="2" t="s">
        <v>0</v>
      </c>
      <c r="G1308" s="3">
        <v>25.21</v>
      </c>
    </row>
    <row r="1309" spans="1:7" ht="29.25" x14ac:dyDescent="0.25">
      <c r="A1309" s="2" t="str">
        <f>"00084295"</f>
        <v>00084295</v>
      </c>
      <c r="B1309" s="2" t="str">
        <f t="shared" si="48"/>
        <v xml:space="preserve">  </v>
      </c>
      <c r="C1309" s="1" t="s">
        <v>1018</v>
      </c>
      <c r="D1309" s="1" t="s">
        <v>0</v>
      </c>
      <c r="E1309" s="1" t="s">
        <v>12</v>
      </c>
      <c r="F1309" s="2" t="s">
        <v>0</v>
      </c>
      <c r="G1309" s="3">
        <v>4.8099999999999996</v>
      </c>
    </row>
    <row r="1310" spans="1:7" ht="29.25" x14ac:dyDescent="0.25">
      <c r="A1310" s="2" t="str">
        <f>"00084295"</f>
        <v>00084295</v>
      </c>
      <c r="B1310" s="2" t="str">
        <f>"QW"</f>
        <v>QW</v>
      </c>
      <c r="C1310" s="1" t="s">
        <v>1019</v>
      </c>
      <c r="D1310" s="1" t="s">
        <v>0</v>
      </c>
      <c r="E1310" s="1" t="s">
        <v>12</v>
      </c>
      <c r="F1310" s="2" t="s">
        <v>0</v>
      </c>
      <c r="G1310" s="3">
        <v>4.8099999999999996</v>
      </c>
    </row>
    <row r="1311" spans="1:7" ht="43.5" x14ac:dyDescent="0.25">
      <c r="A1311" s="2" t="str">
        <f>"00084300"</f>
        <v>00084300</v>
      </c>
      <c r="B1311" s="2" t="str">
        <f t="shared" ref="B1311:B1325" si="49">"  "</f>
        <v xml:space="preserve">  </v>
      </c>
      <c r="C1311" s="1" t="s">
        <v>1020</v>
      </c>
      <c r="D1311" s="1" t="s">
        <v>0</v>
      </c>
      <c r="E1311" s="1" t="s">
        <v>12</v>
      </c>
      <c r="F1311" s="2" t="s">
        <v>0</v>
      </c>
      <c r="G1311" s="3">
        <v>5.0599999999999996</v>
      </c>
    </row>
    <row r="1312" spans="1:7" x14ac:dyDescent="0.25">
      <c r="A1312" s="2" t="str">
        <f>"00084302"</f>
        <v>00084302</v>
      </c>
      <c r="B1312" s="2" t="str">
        <f t="shared" si="49"/>
        <v xml:space="preserve">  </v>
      </c>
      <c r="C1312" s="1" t="s">
        <v>1021</v>
      </c>
      <c r="D1312" s="1" t="s">
        <v>0</v>
      </c>
      <c r="E1312" s="1" t="s">
        <v>12</v>
      </c>
      <c r="F1312" s="2" t="s">
        <v>0</v>
      </c>
      <c r="G1312" s="3">
        <v>4.8600000000000003</v>
      </c>
    </row>
    <row r="1313" spans="1:7" x14ac:dyDescent="0.25">
      <c r="A1313" s="2" t="str">
        <f>"00084305"</f>
        <v>00084305</v>
      </c>
      <c r="B1313" s="2" t="str">
        <f t="shared" si="49"/>
        <v xml:space="preserve">  </v>
      </c>
      <c r="C1313" s="1" t="s">
        <v>1022</v>
      </c>
      <c r="D1313" s="1" t="s">
        <v>0</v>
      </c>
      <c r="E1313" s="1" t="s">
        <v>12</v>
      </c>
      <c r="F1313" s="2" t="s">
        <v>0</v>
      </c>
      <c r="G1313" s="3">
        <v>21.26</v>
      </c>
    </row>
    <row r="1314" spans="1:7" x14ac:dyDescent="0.25">
      <c r="A1314" s="2" t="str">
        <f>"00084307"</f>
        <v>00084307</v>
      </c>
      <c r="B1314" s="2" t="str">
        <f t="shared" si="49"/>
        <v xml:space="preserve">  </v>
      </c>
      <c r="C1314" s="1" t="s">
        <v>1023</v>
      </c>
      <c r="D1314" s="1" t="s">
        <v>0</v>
      </c>
      <c r="E1314" s="1" t="s">
        <v>12</v>
      </c>
      <c r="F1314" s="2" t="s">
        <v>0</v>
      </c>
      <c r="G1314" s="3">
        <v>18.28</v>
      </c>
    </row>
    <row r="1315" spans="1:7" ht="43.5" x14ac:dyDescent="0.25">
      <c r="A1315" s="2" t="str">
        <f>"00084311"</f>
        <v>00084311</v>
      </c>
      <c r="B1315" s="2" t="str">
        <f t="shared" si="49"/>
        <v xml:space="preserve">  </v>
      </c>
      <c r="C1315" s="1" t="s">
        <v>1024</v>
      </c>
      <c r="D1315" s="1" t="s">
        <v>0</v>
      </c>
      <c r="E1315" s="1" t="s">
        <v>12</v>
      </c>
      <c r="F1315" s="2" t="s">
        <v>0</v>
      </c>
      <c r="G1315" s="3">
        <v>8.1</v>
      </c>
    </row>
    <row r="1316" spans="1:7" ht="29.25" x14ac:dyDescent="0.25">
      <c r="A1316" s="2" t="str">
        <f>"00084315"</f>
        <v>00084315</v>
      </c>
      <c r="B1316" s="2" t="str">
        <f t="shared" si="49"/>
        <v xml:space="preserve">  </v>
      </c>
      <c r="C1316" s="1" t="s">
        <v>1025</v>
      </c>
      <c r="D1316" s="1" t="s">
        <v>0</v>
      </c>
      <c r="E1316" s="1" t="s">
        <v>12</v>
      </c>
      <c r="F1316" s="2" t="s">
        <v>0</v>
      </c>
      <c r="G1316" s="3">
        <v>3.28</v>
      </c>
    </row>
    <row r="1317" spans="1:7" ht="57.75" x14ac:dyDescent="0.25">
      <c r="A1317" s="2" t="str">
        <f>"00084375"</f>
        <v>00084375</v>
      </c>
      <c r="B1317" s="2" t="str">
        <f t="shared" si="49"/>
        <v xml:space="preserve">  </v>
      </c>
      <c r="C1317" s="1" t="s">
        <v>1026</v>
      </c>
      <c r="D1317" s="1" t="s">
        <v>0</v>
      </c>
      <c r="E1317" s="1" t="s">
        <v>12</v>
      </c>
      <c r="F1317" s="2" t="s">
        <v>0</v>
      </c>
      <c r="G1317" s="3">
        <v>39</v>
      </c>
    </row>
    <row r="1318" spans="1:7" ht="43.5" x14ac:dyDescent="0.25">
      <c r="A1318" s="2" t="str">
        <f>"00084376"</f>
        <v>00084376</v>
      </c>
      <c r="B1318" s="2" t="str">
        <f t="shared" si="49"/>
        <v xml:space="preserve">  </v>
      </c>
      <c r="C1318" s="1" t="s">
        <v>1027</v>
      </c>
      <c r="D1318" s="1" t="s">
        <v>0</v>
      </c>
      <c r="E1318" s="1" t="s">
        <v>12</v>
      </c>
      <c r="F1318" s="2" t="s">
        <v>0</v>
      </c>
      <c r="G1318" s="3">
        <v>5.5</v>
      </c>
    </row>
    <row r="1319" spans="1:7" ht="43.5" x14ac:dyDescent="0.25">
      <c r="A1319" s="2" t="str">
        <f>"00084377"</f>
        <v>00084377</v>
      </c>
      <c r="B1319" s="2" t="str">
        <f t="shared" si="49"/>
        <v xml:space="preserve">  </v>
      </c>
      <c r="C1319" s="1" t="s">
        <v>1028</v>
      </c>
      <c r="D1319" s="1" t="s">
        <v>0</v>
      </c>
      <c r="E1319" s="1" t="s">
        <v>12</v>
      </c>
      <c r="F1319" s="2" t="s">
        <v>0</v>
      </c>
      <c r="G1319" s="3">
        <v>5.5</v>
      </c>
    </row>
    <row r="1320" spans="1:7" ht="43.5" x14ac:dyDescent="0.25">
      <c r="A1320" s="2" t="str">
        <f>"00084378"</f>
        <v>00084378</v>
      </c>
      <c r="B1320" s="2" t="str">
        <f t="shared" si="49"/>
        <v xml:space="preserve">  </v>
      </c>
      <c r="C1320" s="1" t="s">
        <v>1029</v>
      </c>
      <c r="D1320" s="1" t="s">
        <v>0</v>
      </c>
      <c r="E1320" s="1" t="s">
        <v>12</v>
      </c>
      <c r="F1320" s="2" t="s">
        <v>0</v>
      </c>
      <c r="G1320" s="3">
        <v>11.53</v>
      </c>
    </row>
    <row r="1321" spans="1:7" ht="43.5" x14ac:dyDescent="0.25">
      <c r="A1321" s="2" t="str">
        <f>"00084379"</f>
        <v>00084379</v>
      </c>
      <c r="B1321" s="2" t="str">
        <f t="shared" si="49"/>
        <v xml:space="preserve">  </v>
      </c>
      <c r="C1321" s="1" t="s">
        <v>1030</v>
      </c>
      <c r="D1321" s="1" t="s">
        <v>0</v>
      </c>
      <c r="E1321" s="1" t="s">
        <v>12</v>
      </c>
      <c r="F1321" s="2" t="s">
        <v>0</v>
      </c>
      <c r="G1321" s="3">
        <v>11.53</v>
      </c>
    </row>
    <row r="1322" spans="1:7" x14ac:dyDescent="0.25">
      <c r="A1322" s="2" t="str">
        <f>"00084392"</f>
        <v>00084392</v>
      </c>
      <c r="B1322" s="2" t="str">
        <f t="shared" si="49"/>
        <v xml:space="preserve">  </v>
      </c>
      <c r="C1322" s="1" t="s">
        <v>1031</v>
      </c>
      <c r="D1322" s="1" t="s">
        <v>0</v>
      </c>
      <c r="E1322" s="1" t="s">
        <v>12</v>
      </c>
      <c r="F1322" s="2" t="s">
        <v>0</v>
      </c>
      <c r="G1322" s="3">
        <v>5.49</v>
      </c>
    </row>
    <row r="1323" spans="1:7" x14ac:dyDescent="0.25">
      <c r="A1323" s="2" t="str">
        <f>"00084402"</f>
        <v>00084402</v>
      </c>
      <c r="B1323" s="2" t="str">
        <f t="shared" si="49"/>
        <v xml:space="preserve">  </v>
      </c>
      <c r="C1323" s="1" t="s">
        <v>1032</v>
      </c>
      <c r="D1323" s="1" t="s">
        <v>0</v>
      </c>
      <c r="E1323" s="1" t="s">
        <v>12</v>
      </c>
      <c r="F1323" s="2" t="s">
        <v>0</v>
      </c>
      <c r="G1323" s="3">
        <v>25.47</v>
      </c>
    </row>
    <row r="1324" spans="1:7" x14ac:dyDescent="0.25">
      <c r="A1324" s="2" t="str">
        <f>"00084403"</f>
        <v>00084403</v>
      </c>
      <c r="B1324" s="2" t="str">
        <f t="shared" si="49"/>
        <v xml:space="preserve">  </v>
      </c>
      <c r="C1324" s="1" t="s">
        <v>1033</v>
      </c>
      <c r="D1324" s="1" t="s">
        <v>0</v>
      </c>
      <c r="E1324" s="1" t="s">
        <v>12</v>
      </c>
      <c r="F1324" s="2" t="s">
        <v>0</v>
      </c>
      <c r="G1324" s="3">
        <v>25.81</v>
      </c>
    </row>
    <row r="1325" spans="1:7" x14ac:dyDescent="0.25">
      <c r="A1325" s="2" t="str">
        <f>"00084410"</f>
        <v>00084410</v>
      </c>
      <c r="B1325" s="2" t="str">
        <f t="shared" si="49"/>
        <v xml:space="preserve">  </v>
      </c>
      <c r="C1325" s="1" t="s">
        <v>1034</v>
      </c>
      <c r="D1325" s="1" t="s">
        <v>0</v>
      </c>
      <c r="E1325" s="1" t="s">
        <v>12</v>
      </c>
      <c r="F1325" s="2" t="s">
        <v>0</v>
      </c>
      <c r="G1325" s="3">
        <v>51.28</v>
      </c>
    </row>
    <row r="1326" spans="1:7" x14ac:dyDescent="0.25">
      <c r="A1326" s="2" t="str">
        <f>"00084410"</f>
        <v>00084410</v>
      </c>
      <c r="B1326" s="2" t="str">
        <f>"90"</f>
        <v>90</v>
      </c>
      <c r="C1326" s="1" t="s">
        <v>1034</v>
      </c>
      <c r="D1326" s="1" t="s">
        <v>0</v>
      </c>
      <c r="E1326" s="1" t="s">
        <v>14</v>
      </c>
      <c r="F1326" s="2" t="s">
        <v>0</v>
      </c>
      <c r="G1326" s="17" t="s">
        <v>1769</v>
      </c>
    </row>
    <row r="1327" spans="1:7" ht="29.25" x14ac:dyDescent="0.25">
      <c r="A1327" s="2" t="str">
        <f>"00084425"</f>
        <v>00084425</v>
      </c>
      <c r="B1327" s="2" t="str">
        <f>"  "</f>
        <v xml:space="preserve">  </v>
      </c>
      <c r="C1327" s="1" t="s">
        <v>1035</v>
      </c>
      <c r="D1327" s="1" t="s">
        <v>0</v>
      </c>
      <c r="E1327" s="1" t="s">
        <v>12</v>
      </c>
      <c r="F1327" s="2" t="s">
        <v>0</v>
      </c>
      <c r="G1327" s="3">
        <v>21.23</v>
      </c>
    </row>
    <row r="1328" spans="1:7" x14ac:dyDescent="0.25">
      <c r="A1328" s="2" t="str">
        <f>"00084430"</f>
        <v>00084430</v>
      </c>
      <c r="B1328" s="2" t="str">
        <f>"  "</f>
        <v xml:space="preserve">  </v>
      </c>
      <c r="C1328" s="1" t="s">
        <v>1036</v>
      </c>
      <c r="D1328" s="1" t="s">
        <v>0</v>
      </c>
      <c r="E1328" s="1" t="s">
        <v>12</v>
      </c>
      <c r="F1328" s="2" t="s">
        <v>0</v>
      </c>
      <c r="G1328" s="3">
        <v>11.63</v>
      </c>
    </row>
    <row r="1329" spans="1:7" ht="57.75" x14ac:dyDescent="0.25">
      <c r="A1329" s="2" t="str">
        <f>"00084431"</f>
        <v>00084431</v>
      </c>
      <c r="B1329" s="2" t="str">
        <f>"  "</f>
        <v xml:space="preserve">  </v>
      </c>
      <c r="C1329" s="1" t="s">
        <v>1037</v>
      </c>
      <c r="D1329" s="1" t="s">
        <v>0</v>
      </c>
      <c r="E1329" s="1" t="s">
        <v>12</v>
      </c>
      <c r="F1329" s="2" t="s">
        <v>0</v>
      </c>
      <c r="G1329" s="3">
        <v>35.11</v>
      </c>
    </row>
    <row r="1330" spans="1:7" x14ac:dyDescent="0.25">
      <c r="A1330" s="2" t="str">
        <f>"00084432"</f>
        <v>00084432</v>
      </c>
      <c r="B1330" s="2" t="str">
        <f>"  "</f>
        <v xml:space="preserve">  </v>
      </c>
      <c r="C1330" s="1" t="s">
        <v>1038</v>
      </c>
      <c r="D1330" s="1" t="s">
        <v>0</v>
      </c>
      <c r="E1330" s="1" t="s">
        <v>12</v>
      </c>
      <c r="F1330" s="2" t="s">
        <v>0</v>
      </c>
      <c r="G1330" s="3">
        <v>16.059999999999999</v>
      </c>
    </row>
    <row r="1331" spans="1:7" ht="29.25" x14ac:dyDescent="0.25">
      <c r="A1331" s="2" t="str">
        <f>"00084433"</f>
        <v>00084433</v>
      </c>
      <c r="B1331" s="2" t="str">
        <f>"  "</f>
        <v xml:space="preserve">  </v>
      </c>
      <c r="C1331" s="1" t="s">
        <v>1039</v>
      </c>
      <c r="D1331" s="1" t="s">
        <v>0</v>
      </c>
      <c r="E1331" s="1" t="s">
        <v>14</v>
      </c>
      <c r="F1331" s="2" t="s">
        <v>0</v>
      </c>
      <c r="G1331" s="17" t="s">
        <v>1769</v>
      </c>
    </row>
    <row r="1332" spans="1:7" ht="29.25" x14ac:dyDescent="0.25">
      <c r="A1332" s="2" t="str">
        <f>"00084433"</f>
        <v>00084433</v>
      </c>
      <c r="B1332" s="2" t="str">
        <f>"90"</f>
        <v>90</v>
      </c>
      <c r="C1332" s="1" t="s">
        <v>1039</v>
      </c>
      <c r="D1332" s="1" t="s">
        <v>0</v>
      </c>
      <c r="E1332" s="1" t="s">
        <v>14</v>
      </c>
      <c r="F1332" s="2" t="s">
        <v>0</v>
      </c>
      <c r="G1332" s="17" t="s">
        <v>1769</v>
      </c>
    </row>
    <row r="1333" spans="1:7" x14ac:dyDescent="0.25">
      <c r="A1333" s="2" t="str">
        <f>"00084436"</f>
        <v>00084436</v>
      </c>
      <c r="B1333" s="2" t="str">
        <f>"  "</f>
        <v xml:space="preserve">  </v>
      </c>
      <c r="C1333" s="1" t="s">
        <v>1040</v>
      </c>
      <c r="D1333" s="1" t="s">
        <v>0</v>
      </c>
      <c r="E1333" s="1" t="s">
        <v>12</v>
      </c>
      <c r="F1333" s="2" t="s">
        <v>0</v>
      </c>
      <c r="G1333" s="3">
        <v>6.87</v>
      </c>
    </row>
    <row r="1334" spans="1:7" ht="29.25" x14ac:dyDescent="0.25">
      <c r="A1334" s="2" t="str">
        <f>"00084437"</f>
        <v>00084437</v>
      </c>
      <c r="B1334" s="2" t="str">
        <f>"  "</f>
        <v xml:space="preserve">  </v>
      </c>
      <c r="C1334" s="1" t="s">
        <v>1041</v>
      </c>
      <c r="D1334" s="1" t="s">
        <v>0</v>
      </c>
      <c r="E1334" s="1" t="s">
        <v>12</v>
      </c>
      <c r="F1334" s="2" t="s">
        <v>0</v>
      </c>
      <c r="G1334" s="3">
        <v>6.47</v>
      </c>
    </row>
    <row r="1335" spans="1:7" x14ac:dyDescent="0.25">
      <c r="A1335" s="2" t="str">
        <f>"00084439"</f>
        <v>00084439</v>
      </c>
      <c r="B1335" s="2" t="str">
        <f>"  "</f>
        <v xml:space="preserve">  </v>
      </c>
      <c r="C1335" s="1" t="s">
        <v>1042</v>
      </c>
      <c r="D1335" s="1" t="s">
        <v>0</v>
      </c>
      <c r="E1335" s="1" t="s">
        <v>12</v>
      </c>
      <c r="F1335" s="2" t="s">
        <v>0</v>
      </c>
      <c r="G1335" s="3">
        <v>9.02</v>
      </c>
    </row>
    <row r="1336" spans="1:7" ht="29.25" x14ac:dyDescent="0.25">
      <c r="A1336" s="2" t="str">
        <f>"00084442"</f>
        <v>00084442</v>
      </c>
      <c r="B1336" s="2" t="str">
        <f>"  "</f>
        <v xml:space="preserve">  </v>
      </c>
      <c r="C1336" s="1" t="s">
        <v>1043</v>
      </c>
      <c r="D1336" s="1" t="s">
        <v>0</v>
      </c>
      <c r="E1336" s="1" t="s">
        <v>12</v>
      </c>
      <c r="F1336" s="2" t="s">
        <v>0</v>
      </c>
      <c r="G1336" s="3">
        <v>14.78</v>
      </c>
    </row>
    <row r="1337" spans="1:7" ht="29.25" x14ac:dyDescent="0.25">
      <c r="A1337" s="2" t="str">
        <f>"00084443"</f>
        <v>00084443</v>
      </c>
      <c r="B1337" s="2" t="str">
        <f>"  "</f>
        <v xml:space="preserve">  </v>
      </c>
      <c r="C1337" s="1" t="s">
        <v>1044</v>
      </c>
      <c r="D1337" s="1" t="s">
        <v>0</v>
      </c>
      <c r="E1337" s="1" t="s">
        <v>12</v>
      </c>
      <c r="F1337" s="2" t="s">
        <v>0</v>
      </c>
      <c r="G1337" s="3">
        <v>16.8</v>
      </c>
    </row>
    <row r="1338" spans="1:7" ht="43.5" x14ac:dyDescent="0.25">
      <c r="A1338" s="2" t="str">
        <f>"00084443"</f>
        <v>00084443</v>
      </c>
      <c r="B1338" s="2" t="str">
        <f>"QW"</f>
        <v>QW</v>
      </c>
      <c r="C1338" s="1" t="s">
        <v>1045</v>
      </c>
      <c r="D1338" s="1" t="s">
        <v>0</v>
      </c>
      <c r="E1338" s="1" t="s">
        <v>12</v>
      </c>
      <c r="F1338" s="2" t="s">
        <v>0</v>
      </c>
      <c r="G1338" s="3">
        <v>16.8</v>
      </c>
    </row>
    <row r="1339" spans="1:7" ht="29.25" x14ac:dyDescent="0.25">
      <c r="A1339" s="2" t="str">
        <f>"00084445"</f>
        <v>00084445</v>
      </c>
      <c r="B1339" s="2" t="str">
        <f>"  "</f>
        <v xml:space="preserve">  </v>
      </c>
      <c r="C1339" s="1" t="s">
        <v>1046</v>
      </c>
      <c r="D1339" s="1" t="s">
        <v>0</v>
      </c>
      <c r="E1339" s="1" t="s">
        <v>12</v>
      </c>
      <c r="F1339" s="2" t="s">
        <v>0</v>
      </c>
      <c r="G1339" s="3">
        <v>50.86</v>
      </c>
    </row>
    <row r="1340" spans="1:7" ht="43.5" x14ac:dyDescent="0.25">
      <c r="A1340" s="2" t="str">
        <f>"00084446"</f>
        <v>00084446</v>
      </c>
      <c r="B1340" s="2" t="str">
        <f>"  "</f>
        <v xml:space="preserve">  </v>
      </c>
      <c r="C1340" s="1" t="s">
        <v>1047</v>
      </c>
      <c r="D1340" s="1" t="s">
        <v>0</v>
      </c>
      <c r="E1340" s="1" t="s">
        <v>12</v>
      </c>
      <c r="F1340" s="2" t="s">
        <v>0</v>
      </c>
      <c r="G1340" s="3">
        <v>14.18</v>
      </c>
    </row>
    <row r="1341" spans="1:7" ht="29.25" x14ac:dyDescent="0.25">
      <c r="A1341" s="2" t="str">
        <f>"00084449"</f>
        <v>00084449</v>
      </c>
      <c r="B1341" s="2" t="str">
        <f>"  "</f>
        <v xml:space="preserve">  </v>
      </c>
      <c r="C1341" s="1" t="s">
        <v>1048</v>
      </c>
      <c r="D1341" s="1" t="s">
        <v>0</v>
      </c>
      <c r="E1341" s="1" t="s">
        <v>12</v>
      </c>
      <c r="F1341" s="2" t="s">
        <v>0</v>
      </c>
      <c r="G1341" s="3">
        <v>18</v>
      </c>
    </row>
    <row r="1342" spans="1:7" ht="43.5" x14ac:dyDescent="0.25">
      <c r="A1342" s="2" t="str">
        <f>"00084450"</f>
        <v>00084450</v>
      </c>
      <c r="B1342" s="2" t="str">
        <f>"  "</f>
        <v xml:space="preserve">  </v>
      </c>
      <c r="C1342" s="1" t="s">
        <v>1049</v>
      </c>
      <c r="D1342" s="1" t="s">
        <v>0</v>
      </c>
      <c r="E1342" s="1" t="s">
        <v>12</v>
      </c>
      <c r="F1342" s="2" t="s">
        <v>0</v>
      </c>
      <c r="G1342" s="3">
        <v>5.18</v>
      </c>
    </row>
    <row r="1343" spans="1:7" ht="57.75" x14ac:dyDescent="0.25">
      <c r="A1343" s="2" t="str">
        <f>"00084450"</f>
        <v>00084450</v>
      </c>
      <c r="B1343" s="2" t="str">
        <f>"QW"</f>
        <v>QW</v>
      </c>
      <c r="C1343" s="1" t="s">
        <v>1050</v>
      </c>
      <c r="D1343" s="1" t="s">
        <v>0</v>
      </c>
      <c r="E1343" s="1" t="s">
        <v>12</v>
      </c>
      <c r="F1343" s="2" t="s">
        <v>0</v>
      </c>
      <c r="G1343" s="3">
        <v>5.18</v>
      </c>
    </row>
    <row r="1344" spans="1:7" ht="43.5" x14ac:dyDescent="0.25">
      <c r="A1344" s="2" t="str">
        <f>"00084460"</f>
        <v>00084460</v>
      </c>
      <c r="B1344" s="2" t="str">
        <f>"  "</f>
        <v xml:space="preserve">  </v>
      </c>
      <c r="C1344" s="1" t="s">
        <v>1051</v>
      </c>
      <c r="D1344" s="1" t="s">
        <v>0</v>
      </c>
      <c r="E1344" s="1" t="s">
        <v>12</v>
      </c>
      <c r="F1344" s="2" t="s">
        <v>0</v>
      </c>
      <c r="G1344" s="3">
        <v>5.3</v>
      </c>
    </row>
    <row r="1345" spans="1:7" ht="29.25" x14ac:dyDescent="0.25">
      <c r="A1345" s="2" t="str">
        <f>"00084460"</f>
        <v>00084460</v>
      </c>
      <c r="B1345" s="2" t="str">
        <f>"QW"</f>
        <v>QW</v>
      </c>
      <c r="C1345" s="1" t="s">
        <v>1052</v>
      </c>
      <c r="D1345" s="1" t="s">
        <v>0</v>
      </c>
      <c r="E1345" s="1" t="s">
        <v>12</v>
      </c>
      <c r="F1345" s="2" t="s">
        <v>0</v>
      </c>
      <c r="G1345" s="3">
        <v>5.3</v>
      </c>
    </row>
    <row r="1346" spans="1:7" x14ac:dyDescent="0.25">
      <c r="A1346" s="2" t="str">
        <f>"00084466"</f>
        <v>00084466</v>
      </c>
      <c r="B1346" s="2" t="str">
        <f>"  "</f>
        <v xml:space="preserve">  </v>
      </c>
      <c r="C1346" s="1" t="s">
        <v>1053</v>
      </c>
      <c r="D1346" s="1" t="s">
        <v>0</v>
      </c>
      <c r="E1346" s="1" t="s">
        <v>12</v>
      </c>
      <c r="F1346" s="2" t="s">
        <v>0</v>
      </c>
      <c r="G1346" s="3">
        <v>12.76</v>
      </c>
    </row>
    <row r="1347" spans="1:7" x14ac:dyDescent="0.25">
      <c r="A1347" s="2" t="str">
        <f>"00084478"</f>
        <v>00084478</v>
      </c>
      <c r="B1347" s="2" t="str">
        <f>"  "</f>
        <v xml:space="preserve">  </v>
      </c>
      <c r="C1347" s="1" t="s">
        <v>1054</v>
      </c>
      <c r="D1347" s="1" t="s">
        <v>0</v>
      </c>
      <c r="E1347" s="1" t="s">
        <v>12</v>
      </c>
      <c r="F1347" s="2" t="s">
        <v>0</v>
      </c>
      <c r="G1347" s="3">
        <v>5.74</v>
      </c>
    </row>
    <row r="1348" spans="1:7" ht="43.5" x14ac:dyDescent="0.25">
      <c r="A1348" s="2" t="str">
        <f>"00084478"</f>
        <v>00084478</v>
      </c>
      <c r="B1348" s="2" t="str">
        <f>"QW"</f>
        <v>QW</v>
      </c>
      <c r="C1348" s="1" t="s">
        <v>1055</v>
      </c>
      <c r="D1348" s="1" t="s">
        <v>0</v>
      </c>
      <c r="E1348" s="1" t="s">
        <v>12</v>
      </c>
      <c r="F1348" s="2" t="s">
        <v>0</v>
      </c>
      <c r="G1348" s="3">
        <v>5.74</v>
      </c>
    </row>
    <row r="1349" spans="1:7" ht="29.25" x14ac:dyDescent="0.25">
      <c r="A1349" s="2" t="str">
        <f>"00084479"</f>
        <v>00084479</v>
      </c>
      <c r="B1349" s="2" t="str">
        <f t="shared" ref="B1349:B1359" si="50">"  "</f>
        <v xml:space="preserve">  </v>
      </c>
      <c r="C1349" s="1" t="s">
        <v>1056</v>
      </c>
      <c r="D1349" s="1" t="s">
        <v>0</v>
      </c>
      <c r="E1349" s="1" t="s">
        <v>12</v>
      </c>
      <c r="F1349" s="2" t="s">
        <v>0</v>
      </c>
      <c r="G1349" s="3">
        <v>6.47</v>
      </c>
    </row>
    <row r="1350" spans="1:7" ht="29.25" x14ac:dyDescent="0.25">
      <c r="A1350" s="2" t="str">
        <f>"00084480"</f>
        <v>00084480</v>
      </c>
      <c r="B1350" s="2" t="str">
        <f t="shared" si="50"/>
        <v xml:space="preserve">  </v>
      </c>
      <c r="C1350" s="1" t="s">
        <v>1057</v>
      </c>
      <c r="D1350" s="1" t="s">
        <v>0</v>
      </c>
      <c r="E1350" s="1" t="s">
        <v>12</v>
      </c>
      <c r="F1350" s="2" t="s">
        <v>0</v>
      </c>
      <c r="G1350" s="3">
        <v>14.18</v>
      </c>
    </row>
    <row r="1351" spans="1:7" x14ac:dyDescent="0.25">
      <c r="A1351" s="2" t="str">
        <f>"00084481"</f>
        <v>00084481</v>
      </c>
      <c r="B1351" s="2" t="str">
        <f t="shared" si="50"/>
        <v xml:space="preserve">  </v>
      </c>
      <c r="C1351" s="1" t="s">
        <v>1058</v>
      </c>
      <c r="D1351" s="1" t="s">
        <v>0</v>
      </c>
      <c r="E1351" s="1" t="s">
        <v>12</v>
      </c>
      <c r="F1351" s="2" t="s">
        <v>0</v>
      </c>
      <c r="G1351" s="3">
        <v>16.940000000000001</v>
      </c>
    </row>
    <row r="1352" spans="1:7" x14ac:dyDescent="0.25">
      <c r="A1352" s="2" t="str">
        <f>"00084482"</f>
        <v>00084482</v>
      </c>
      <c r="B1352" s="2" t="str">
        <f t="shared" si="50"/>
        <v xml:space="preserve">  </v>
      </c>
      <c r="C1352" s="1" t="s">
        <v>1059</v>
      </c>
      <c r="D1352" s="1" t="s">
        <v>0</v>
      </c>
      <c r="E1352" s="1" t="s">
        <v>12</v>
      </c>
      <c r="F1352" s="2" t="s">
        <v>0</v>
      </c>
      <c r="G1352" s="3">
        <v>15.76</v>
      </c>
    </row>
    <row r="1353" spans="1:7" x14ac:dyDescent="0.25">
      <c r="A1353" s="2" t="str">
        <f>"00084484"</f>
        <v>00084484</v>
      </c>
      <c r="B1353" s="2" t="str">
        <f t="shared" si="50"/>
        <v xml:space="preserve">  </v>
      </c>
      <c r="C1353" s="1" t="s">
        <v>1060</v>
      </c>
      <c r="D1353" s="1" t="s">
        <v>0</v>
      </c>
      <c r="E1353" s="1" t="s">
        <v>12</v>
      </c>
      <c r="F1353" s="2" t="s">
        <v>0</v>
      </c>
      <c r="G1353" s="3">
        <v>12.47</v>
      </c>
    </row>
    <row r="1354" spans="1:7" x14ac:dyDescent="0.25">
      <c r="A1354" s="2" t="str">
        <f>"00084485"</f>
        <v>00084485</v>
      </c>
      <c r="B1354" s="2" t="str">
        <f t="shared" si="50"/>
        <v xml:space="preserve">  </v>
      </c>
      <c r="C1354" s="1" t="s">
        <v>1061</v>
      </c>
      <c r="D1354" s="1" t="s">
        <v>0</v>
      </c>
      <c r="E1354" s="1" t="s">
        <v>12</v>
      </c>
      <c r="F1354" s="2" t="s">
        <v>0</v>
      </c>
      <c r="G1354" s="3">
        <v>7.2</v>
      </c>
    </row>
    <row r="1355" spans="1:7" ht="29.25" x14ac:dyDescent="0.25">
      <c r="A1355" s="2" t="str">
        <f>"00084488"</f>
        <v>00084488</v>
      </c>
      <c r="B1355" s="2" t="str">
        <f t="shared" si="50"/>
        <v xml:space="preserve">  </v>
      </c>
      <c r="C1355" s="1" t="s">
        <v>1062</v>
      </c>
      <c r="D1355" s="1" t="s">
        <v>0</v>
      </c>
      <c r="E1355" s="1" t="s">
        <v>12</v>
      </c>
      <c r="F1355" s="2" t="s">
        <v>0</v>
      </c>
      <c r="G1355" s="3">
        <v>7.3</v>
      </c>
    </row>
    <row r="1356" spans="1:7" ht="43.5" x14ac:dyDescent="0.25">
      <c r="A1356" s="2" t="str">
        <f>"00084490"</f>
        <v>00084490</v>
      </c>
      <c r="B1356" s="2" t="str">
        <f t="shared" si="50"/>
        <v xml:space="preserve">  </v>
      </c>
      <c r="C1356" s="1" t="s">
        <v>1063</v>
      </c>
      <c r="D1356" s="1" t="s">
        <v>0</v>
      </c>
      <c r="E1356" s="1" t="s">
        <v>12</v>
      </c>
      <c r="F1356" s="2" t="s">
        <v>0</v>
      </c>
      <c r="G1356" s="3">
        <v>9.93</v>
      </c>
    </row>
    <row r="1357" spans="1:7" x14ac:dyDescent="0.25">
      <c r="A1357" s="2" t="str">
        <f>"00084510"</f>
        <v>00084510</v>
      </c>
      <c r="B1357" s="2" t="str">
        <f t="shared" si="50"/>
        <v xml:space="preserve">  </v>
      </c>
      <c r="C1357" s="1" t="s">
        <v>1064</v>
      </c>
      <c r="D1357" s="1" t="s">
        <v>0</v>
      </c>
      <c r="E1357" s="1" t="s">
        <v>12</v>
      </c>
      <c r="F1357" s="2" t="s">
        <v>0</v>
      </c>
      <c r="G1357" s="3">
        <v>10.63</v>
      </c>
    </row>
    <row r="1358" spans="1:7" ht="29.25" x14ac:dyDescent="0.25">
      <c r="A1358" s="2" t="str">
        <f>"00084512"</f>
        <v>00084512</v>
      </c>
      <c r="B1358" s="2" t="str">
        <f t="shared" si="50"/>
        <v xml:space="preserve">  </v>
      </c>
      <c r="C1358" s="1" t="s">
        <v>1065</v>
      </c>
      <c r="D1358" s="1" t="s">
        <v>0</v>
      </c>
      <c r="E1358" s="1" t="s">
        <v>12</v>
      </c>
      <c r="F1358" s="2" t="s">
        <v>0</v>
      </c>
      <c r="G1358" s="3">
        <v>10.09</v>
      </c>
    </row>
    <row r="1359" spans="1:7" ht="29.25" x14ac:dyDescent="0.25">
      <c r="A1359" s="2" t="str">
        <f>"00084520"</f>
        <v>00084520</v>
      </c>
      <c r="B1359" s="2" t="str">
        <f t="shared" si="50"/>
        <v xml:space="preserve">  </v>
      </c>
      <c r="C1359" s="1" t="s">
        <v>1066</v>
      </c>
      <c r="D1359" s="1" t="s">
        <v>0</v>
      </c>
      <c r="E1359" s="1" t="s">
        <v>12</v>
      </c>
      <c r="F1359" s="2" t="s">
        <v>0</v>
      </c>
      <c r="G1359" s="3">
        <v>3.95</v>
      </c>
    </row>
    <row r="1360" spans="1:7" ht="29.25" x14ac:dyDescent="0.25">
      <c r="A1360" s="2" t="str">
        <f>"00084520"</f>
        <v>00084520</v>
      </c>
      <c r="B1360" s="2" t="str">
        <f>"QW"</f>
        <v>QW</v>
      </c>
      <c r="C1360" s="1" t="s">
        <v>1067</v>
      </c>
      <c r="D1360" s="1" t="s">
        <v>0</v>
      </c>
      <c r="E1360" s="1" t="s">
        <v>12</v>
      </c>
      <c r="F1360" s="2" t="s">
        <v>0</v>
      </c>
      <c r="G1360" s="3">
        <v>3.95</v>
      </c>
    </row>
    <row r="1361" spans="1:7" ht="43.5" x14ac:dyDescent="0.25">
      <c r="A1361" s="2" t="str">
        <f>"00084525"</f>
        <v>00084525</v>
      </c>
      <c r="B1361" s="2" t="str">
        <f>"  "</f>
        <v xml:space="preserve">  </v>
      </c>
      <c r="C1361" s="1" t="s">
        <v>1068</v>
      </c>
      <c r="D1361" s="1" t="s">
        <v>0</v>
      </c>
      <c r="E1361" s="1" t="s">
        <v>12</v>
      </c>
      <c r="F1361" s="2" t="s">
        <v>0</v>
      </c>
      <c r="G1361" s="3">
        <v>5.13</v>
      </c>
    </row>
    <row r="1362" spans="1:7" x14ac:dyDescent="0.25">
      <c r="A1362" s="2" t="str">
        <f>"00084540"</f>
        <v>00084540</v>
      </c>
      <c r="B1362" s="2" t="str">
        <f>"  "</f>
        <v xml:space="preserve">  </v>
      </c>
      <c r="C1362" s="1" t="s">
        <v>1069</v>
      </c>
      <c r="D1362" s="1" t="s">
        <v>0</v>
      </c>
      <c r="E1362" s="1" t="s">
        <v>12</v>
      </c>
      <c r="F1362" s="2" t="s">
        <v>0</v>
      </c>
      <c r="G1362" s="3">
        <v>5.56</v>
      </c>
    </row>
    <row r="1363" spans="1:7" x14ac:dyDescent="0.25">
      <c r="A1363" s="2" t="str">
        <f>"00084545"</f>
        <v>00084545</v>
      </c>
      <c r="B1363" s="2" t="str">
        <f>"  "</f>
        <v xml:space="preserve">  </v>
      </c>
      <c r="C1363" s="1" t="s">
        <v>1070</v>
      </c>
      <c r="D1363" s="1" t="s">
        <v>0</v>
      </c>
      <c r="E1363" s="1" t="s">
        <v>12</v>
      </c>
      <c r="F1363" s="2" t="s">
        <v>0</v>
      </c>
      <c r="G1363" s="3">
        <v>7.2</v>
      </c>
    </row>
    <row r="1364" spans="1:7" ht="29.25" x14ac:dyDescent="0.25">
      <c r="A1364" s="2" t="str">
        <f>"00084550"</f>
        <v>00084550</v>
      </c>
      <c r="B1364" s="2" t="str">
        <f>"  "</f>
        <v xml:space="preserve">  </v>
      </c>
      <c r="C1364" s="1" t="s">
        <v>1071</v>
      </c>
      <c r="D1364" s="1" t="s">
        <v>0</v>
      </c>
      <c r="E1364" s="1" t="s">
        <v>12</v>
      </c>
      <c r="F1364" s="2" t="s">
        <v>0</v>
      </c>
      <c r="G1364" s="3">
        <v>4.5199999999999996</v>
      </c>
    </row>
    <row r="1365" spans="1:7" x14ac:dyDescent="0.25">
      <c r="A1365" s="2" t="str">
        <f>"00084550"</f>
        <v>00084550</v>
      </c>
      <c r="B1365" s="2" t="str">
        <f>"QW"</f>
        <v>QW</v>
      </c>
      <c r="C1365" s="1" t="s">
        <v>1072</v>
      </c>
      <c r="D1365" s="1" t="s">
        <v>0</v>
      </c>
      <c r="E1365" s="1" t="s">
        <v>12</v>
      </c>
      <c r="F1365" s="2" t="s">
        <v>0</v>
      </c>
      <c r="G1365" s="3">
        <v>4.5199999999999996</v>
      </c>
    </row>
    <row r="1366" spans="1:7" x14ac:dyDescent="0.25">
      <c r="A1366" s="2" t="str">
        <f>"00084560"</f>
        <v>00084560</v>
      </c>
      <c r="B1366" s="2" t="str">
        <f t="shared" ref="B1366:B1382" si="51">"  "</f>
        <v xml:space="preserve">  </v>
      </c>
      <c r="C1366" s="1" t="s">
        <v>1073</v>
      </c>
      <c r="D1366" s="1" t="s">
        <v>0</v>
      </c>
      <c r="E1366" s="1" t="s">
        <v>12</v>
      </c>
      <c r="F1366" s="2" t="s">
        <v>0</v>
      </c>
      <c r="G1366" s="3">
        <v>5.08</v>
      </c>
    </row>
    <row r="1367" spans="1:7" ht="29.25" x14ac:dyDescent="0.25">
      <c r="A1367" s="2" t="str">
        <f>"00084577"</f>
        <v>00084577</v>
      </c>
      <c r="B1367" s="2" t="str">
        <f t="shared" si="51"/>
        <v xml:space="preserve">  </v>
      </c>
      <c r="C1367" s="1" t="s">
        <v>1074</v>
      </c>
      <c r="D1367" s="1" t="s">
        <v>0</v>
      </c>
      <c r="E1367" s="1" t="s">
        <v>12</v>
      </c>
      <c r="F1367" s="2" t="s">
        <v>0</v>
      </c>
      <c r="G1367" s="3">
        <v>16.8</v>
      </c>
    </row>
    <row r="1368" spans="1:7" ht="29.25" x14ac:dyDescent="0.25">
      <c r="A1368" s="2" t="str">
        <f>"00084578"</f>
        <v>00084578</v>
      </c>
      <c r="B1368" s="2" t="str">
        <f t="shared" si="51"/>
        <v xml:space="preserve">  </v>
      </c>
      <c r="C1368" s="1" t="s">
        <v>1075</v>
      </c>
      <c r="D1368" s="1" t="s">
        <v>0</v>
      </c>
      <c r="E1368" s="1" t="s">
        <v>12</v>
      </c>
      <c r="F1368" s="2" t="s">
        <v>0</v>
      </c>
      <c r="G1368" s="3">
        <v>4.47</v>
      </c>
    </row>
    <row r="1369" spans="1:7" ht="29.25" x14ac:dyDescent="0.25">
      <c r="A1369" s="2" t="str">
        <f>"00084580"</f>
        <v>00084580</v>
      </c>
      <c r="B1369" s="2" t="str">
        <f t="shared" si="51"/>
        <v xml:space="preserve">  </v>
      </c>
      <c r="C1369" s="1" t="s">
        <v>1076</v>
      </c>
      <c r="D1369" s="1" t="s">
        <v>0</v>
      </c>
      <c r="E1369" s="1" t="s">
        <v>12</v>
      </c>
      <c r="F1369" s="2" t="s">
        <v>0</v>
      </c>
      <c r="G1369" s="3">
        <v>9.5500000000000007</v>
      </c>
    </row>
    <row r="1370" spans="1:7" ht="29.25" x14ac:dyDescent="0.25">
      <c r="A1370" s="2" t="str">
        <f>"00084583"</f>
        <v>00084583</v>
      </c>
      <c r="B1370" s="2" t="str">
        <f t="shared" si="51"/>
        <v xml:space="preserve">  </v>
      </c>
      <c r="C1370" s="1" t="s">
        <v>1077</v>
      </c>
      <c r="D1370" s="1" t="s">
        <v>0</v>
      </c>
      <c r="E1370" s="1" t="s">
        <v>12</v>
      </c>
      <c r="F1370" s="2" t="s">
        <v>0</v>
      </c>
      <c r="G1370" s="3">
        <v>6.05</v>
      </c>
    </row>
    <row r="1371" spans="1:7" ht="29.25" x14ac:dyDescent="0.25">
      <c r="A1371" s="2" t="str">
        <f>"00084585"</f>
        <v>00084585</v>
      </c>
      <c r="B1371" s="2" t="str">
        <f t="shared" si="51"/>
        <v xml:space="preserve">  </v>
      </c>
      <c r="C1371" s="1" t="s">
        <v>1078</v>
      </c>
      <c r="D1371" s="1" t="s">
        <v>0</v>
      </c>
      <c r="E1371" s="1" t="s">
        <v>12</v>
      </c>
      <c r="F1371" s="2" t="s">
        <v>0</v>
      </c>
      <c r="G1371" s="3">
        <v>15.5</v>
      </c>
    </row>
    <row r="1372" spans="1:7" ht="29.25" x14ac:dyDescent="0.25">
      <c r="A1372" s="2" t="str">
        <f>"00084586"</f>
        <v>00084586</v>
      </c>
      <c r="B1372" s="2" t="str">
        <f t="shared" si="51"/>
        <v xml:space="preserve">  </v>
      </c>
      <c r="C1372" s="1" t="s">
        <v>1079</v>
      </c>
      <c r="D1372" s="1" t="s">
        <v>0</v>
      </c>
      <c r="E1372" s="1" t="s">
        <v>12</v>
      </c>
      <c r="F1372" s="2" t="s">
        <v>0</v>
      </c>
      <c r="G1372" s="3">
        <v>35.33</v>
      </c>
    </row>
    <row r="1373" spans="1:7" ht="43.5" x14ac:dyDescent="0.25">
      <c r="A1373" s="2" t="str">
        <f>"00084588"</f>
        <v>00084588</v>
      </c>
      <c r="B1373" s="2" t="str">
        <f t="shared" si="51"/>
        <v xml:space="preserve">  </v>
      </c>
      <c r="C1373" s="1" t="s">
        <v>1080</v>
      </c>
      <c r="D1373" s="1" t="s">
        <v>0</v>
      </c>
      <c r="E1373" s="1" t="s">
        <v>12</v>
      </c>
      <c r="F1373" s="2" t="s">
        <v>0</v>
      </c>
      <c r="G1373" s="3">
        <v>33.94</v>
      </c>
    </row>
    <row r="1374" spans="1:7" x14ac:dyDescent="0.25">
      <c r="A1374" s="2" t="str">
        <f>"00084590"</f>
        <v>00084590</v>
      </c>
      <c r="B1374" s="2" t="str">
        <f t="shared" si="51"/>
        <v xml:space="preserve">  </v>
      </c>
      <c r="C1374" s="1" t="s">
        <v>1081</v>
      </c>
      <c r="D1374" s="1" t="s">
        <v>0</v>
      </c>
      <c r="E1374" s="1" t="s">
        <v>12</v>
      </c>
      <c r="F1374" s="2" t="s">
        <v>0</v>
      </c>
      <c r="G1374" s="3">
        <v>11.61</v>
      </c>
    </row>
    <row r="1375" spans="1:7" ht="29.25" x14ac:dyDescent="0.25">
      <c r="A1375" s="2" t="str">
        <f>"00084591"</f>
        <v>00084591</v>
      </c>
      <c r="B1375" s="2" t="str">
        <f t="shared" si="51"/>
        <v xml:space="preserve">  </v>
      </c>
      <c r="C1375" s="1" t="s">
        <v>1082</v>
      </c>
      <c r="D1375" s="1" t="s">
        <v>0</v>
      </c>
      <c r="E1375" s="1" t="s">
        <v>12</v>
      </c>
      <c r="F1375" s="2" t="s">
        <v>0</v>
      </c>
      <c r="G1375" s="3">
        <v>17.059999999999999</v>
      </c>
    </row>
    <row r="1376" spans="1:7" x14ac:dyDescent="0.25">
      <c r="A1376" s="2" t="str">
        <f>"00084597"</f>
        <v>00084597</v>
      </c>
      <c r="B1376" s="2" t="str">
        <f t="shared" si="51"/>
        <v xml:space="preserve">  </v>
      </c>
      <c r="C1376" s="1" t="s">
        <v>1083</v>
      </c>
      <c r="D1376" s="1" t="s">
        <v>0</v>
      </c>
      <c r="E1376" s="1" t="s">
        <v>12</v>
      </c>
      <c r="F1376" s="2" t="s">
        <v>0</v>
      </c>
      <c r="G1376" s="3">
        <v>13.72</v>
      </c>
    </row>
    <row r="1377" spans="1:7" ht="100.5" x14ac:dyDescent="0.25">
      <c r="A1377" s="2" t="str">
        <f>"00084600"</f>
        <v>00084600</v>
      </c>
      <c r="B1377" s="2" t="str">
        <f t="shared" si="51"/>
        <v xml:space="preserve">  </v>
      </c>
      <c r="C1377" s="1" t="s">
        <v>1084</v>
      </c>
      <c r="D1377" s="1" t="s">
        <v>0</v>
      </c>
      <c r="E1377" s="1" t="s">
        <v>12</v>
      </c>
      <c r="F1377" s="2" t="s">
        <v>0</v>
      </c>
      <c r="G1377" s="3">
        <v>17.11</v>
      </c>
    </row>
    <row r="1378" spans="1:7" ht="29.25" x14ac:dyDescent="0.25">
      <c r="A1378" s="2" t="str">
        <f>"00084620"</f>
        <v>00084620</v>
      </c>
      <c r="B1378" s="2" t="str">
        <f t="shared" si="51"/>
        <v xml:space="preserve">  </v>
      </c>
      <c r="C1378" s="1" t="s">
        <v>1085</v>
      </c>
      <c r="D1378" s="1" t="s">
        <v>0</v>
      </c>
      <c r="E1378" s="1" t="s">
        <v>12</v>
      </c>
      <c r="F1378" s="2" t="s">
        <v>0</v>
      </c>
      <c r="G1378" s="3">
        <v>12.91</v>
      </c>
    </row>
    <row r="1379" spans="1:7" x14ac:dyDescent="0.25">
      <c r="A1379" s="2" t="str">
        <f>"00084630"</f>
        <v>00084630</v>
      </c>
      <c r="B1379" s="2" t="str">
        <f t="shared" si="51"/>
        <v xml:space="preserve">  </v>
      </c>
      <c r="C1379" s="1" t="s">
        <v>1086</v>
      </c>
      <c r="D1379" s="1" t="s">
        <v>0</v>
      </c>
      <c r="E1379" s="1" t="s">
        <v>12</v>
      </c>
      <c r="F1379" s="2" t="s">
        <v>0</v>
      </c>
      <c r="G1379" s="3">
        <v>11.39</v>
      </c>
    </row>
    <row r="1380" spans="1:7" x14ac:dyDescent="0.25">
      <c r="A1380" s="2" t="str">
        <f>"00084681"</f>
        <v>00084681</v>
      </c>
      <c r="B1380" s="2" t="str">
        <f t="shared" si="51"/>
        <v xml:space="preserve">  </v>
      </c>
      <c r="C1380" s="1" t="s">
        <v>1087</v>
      </c>
      <c r="D1380" s="1" t="s">
        <v>0</v>
      </c>
      <c r="E1380" s="1" t="s">
        <v>12</v>
      </c>
      <c r="F1380" s="2" t="s">
        <v>0</v>
      </c>
      <c r="G1380" s="3">
        <v>20.81</v>
      </c>
    </row>
    <row r="1381" spans="1:7" ht="72" x14ac:dyDescent="0.25">
      <c r="A1381" s="2" t="str">
        <f>"00084702"</f>
        <v>00084702</v>
      </c>
      <c r="B1381" s="2" t="str">
        <f t="shared" si="51"/>
        <v xml:space="preserve">  </v>
      </c>
      <c r="C1381" s="1" t="s">
        <v>1088</v>
      </c>
      <c r="D1381" s="1" t="s">
        <v>0</v>
      </c>
      <c r="E1381" s="1" t="s">
        <v>1089</v>
      </c>
      <c r="F1381" s="2" t="s">
        <v>0</v>
      </c>
      <c r="G1381" s="3">
        <v>15.05</v>
      </c>
    </row>
    <row r="1382" spans="1:7" ht="29.25" x14ac:dyDescent="0.25">
      <c r="A1382" s="2" t="str">
        <f>"00084703"</f>
        <v>00084703</v>
      </c>
      <c r="B1382" s="2" t="str">
        <f t="shared" si="51"/>
        <v xml:space="preserve">  </v>
      </c>
      <c r="C1382" s="1" t="s">
        <v>1090</v>
      </c>
      <c r="D1382" s="1" t="s">
        <v>0</v>
      </c>
      <c r="E1382" s="1" t="s">
        <v>12</v>
      </c>
      <c r="F1382" s="2" t="s">
        <v>0</v>
      </c>
      <c r="G1382" s="3">
        <v>7.52</v>
      </c>
    </row>
    <row r="1383" spans="1:7" ht="29.25" x14ac:dyDescent="0.25">
      <c r="A1383" s="2" t="str">
        <f>"00084703"</f>
        <v>00084703</v>
      </c>
      <c r="B1383" s="2" t="str">
        <f>"QW"</f>
        <v>QW</v>
      </c>
      <c r="C1383" s="1" t="s">
        <v>1090</v>
      </c>
      <c r="D1383" s="1" t="s">
        <v>0</v>
      </c>
      <c r="E1383" s="1" t="s">
        <v>12</v>
      </c>
      <c r="F1383" s="2" t="s">
        <v>0</v>
      </c>
      <c r="G1383" s="3">
        <v>7.52</v>
      </c>
    </row>
    <row r="1384" spans="1:7" ht="43.5" x14ac:dyDescent="0.25">
      <c r="A1384" s="2" t="str">
        <f>"00084704"</f>
        <v>00084704</v>
      </c>
      <c r="B1384" s="2" t="str">
        <f t="shared" ref="B1384:B1393" si="52">"  "</f>
        <v xml:space="preserve">  </v>
      </c>
      <c r="C1384" s="1" t="s">
        <v>1091</v>
      </c>
      <c r="D1384" s="1" t="s">
        <v>0</v>
      </c>
      <c r="E1384" s="1" t="s">
        <v>12</v>
      </c>
      <c r="F1384" s="2" t="s">
        <v>0</v>
      </c>
      <c r="G1384" s="3">
        <v>15.29</v>
      </c>
    </row>
    <row r="1385" spans="1:7" ht="114.75" x14ac:dyDescent="0.25">
      <c r="A1385" s="2" t="str">
        <f>"00084830"</f>
        <v>00084830</v>
      </c>
      <c r="B1385" s="2" t="str">
        <f t="shared" si="52"/>
        <v xml:space="preserve">  </v>
      </c>
      <c r="C1385" s="1" t="s">
        <v>1092</v>
      </c>
      <c r="D1385" s="1" t="s">
        <v>0</v>
      </c>
      <c r="E1385" s="1" t="s">
        <v>12</v>
      </c>
      <c r="F1385" s="2" t="s">
        <v>0</v>
      </c>
      <c r="G1385" s="3">
        <v>12.7</v>
      </c>
    </row>
    <row r="1386" spans="1:7" ht="29.25" x14ac:dyDescent="0.25">
      <c r="A1386" s="2" t="str">
        <f>"00084999"</f>
        <v>00084999</v>
      </c>
      <c r="B1386" s="2" t="str">
        <f t="shared" si="52"/>
        <v xml:space="preserve">  </v>
      </c>
      <c r="C1386" s="1" t="s">
        <v>1093</v>
      </c>
      <c r="D1386" s="1" t="s">
        <v>0</v>
      </c>
      <c r="E1386" s="1" t="s">
        <v>14</v>
      </c>
      <c r="F1386" s="2" t="s">
        <v>0</v>
      </c>
      <c r="G1386" s="17" t="s">
        <v>1769</v>
      </c>
    </row>
    <row r="1387" spans="1:7" x14ac:dyDescent="0.25">
      <c r="A1387" s="2" t="str">
        <f>"00085002"</f>
        <v>00085002</v>
      </c>
      <c r="B1387" s="2" t="str">
        <f t="shared" si="52"/>
        <v xml:space="preserve">  </v>
      </c>
      <c r="C1387" s="1" t="s">
        <v>1094</v>
      </c>
      <c r="D1387" s="1" t="s">
        <v>0</v>
      </c>
      <c r="E1387" s="1" t="s">
        <v>12</v>
      </c>
      <c r="F1387" s="2" t="s">
        <v>0</v>
      </c>
      <c r="G1387" s="3">
        <v>4.82</v>
      </c>
    </row>
    <row r="1388" spans="1:7" ht="43.5" x14ac:dyDescent="0.25">
      <c r="A1388" s="2" t="str">
        <f>"00085004"</f>
        <v>00085004</v>
      </c>
      <c r="B1388" s="2" t="str">
        <f t="shared" si="52"/>
        <v xml:space="preserve">  </v>
      </c>
      <c r="C1388" s="1" t="s">
        <v>1095</v>
      </c>
      <c r="D1388" s="1" t="s">
        <v>0</v>
      </c>
      <c r="E1388" s="1" t="s">
        <v>12</v>
      </c>
      <c r="F1388" s="2" t="s">
        <v>0</v>
      </c>
      <c r="G1388" s="3">
        <v>6.47</v>
      </c>
    </row>
    <row r="1389" spans="1:7" ht="57.75" x14ac:dyDescent="0.25">
      <c r="A1389" s="2" t="str">
        <f>"00085007"</f>
        <v>00085007</v>
      </c>
      <c r="B1389" s="2" t="str">
        <f t="shared" si="52"/>
        <v xml:space="preserve">  </v>
      </c>
      <c r="C1389" s="1" t="s">
        <v>1096</v>
      </c>
      <c r="D1389" s="1" t="s">
        <v>0</v>
      </c>
      <c r="E1389" s="1" t="s">
        <v>12</v>
      </c>
      <c r="F1389" s="2" t="s">
        <v>0</v>
      </c>
      <c r="G1389" s="3">
        <v>3.8</v>
      </c>
    </row>
    <row r="1390" spans="1:7" ht="72" x14ac:dyDescent="0.25">
      <c r="A1390" s="2" t="str">
        <f>"00085008"</f>
        <v>00085008</v>
      </c>
      <c r="B1390" s="2" t="str">
        <f t="shared" si="52"/>
        <v xml:space="preserve">  </v>
      </c>
      <c r="C1390" s="1" t="s">
        <v>1097</v>
      </c>
      <c r="D1390" s="1" t="s">
        <v>0</v>
      </c>
      <c r="E1390" s="1" t="s">
        <v>12</v>
      </c>
      <c r="F1390" s="2" t="s">
        <v>0</v>
      </c>
      <c r="G1390" s="3">
        <v>3.43</v>
      </c>
    </row>
    <row r="1391" spans="1:7" ht="43.5" x14ac:dyDescent="0.25">
      <c r="A1391" s="2" t="str">
        <f>"00085009"</f>
        <v>00085009</v>
      </c>
      <c r="B1391" s="2" t="str">
        <f t="shared" si="52"/>
        <v xml:space="preserve">  </v>
      </c>
      <c r="C1391" s="1" t="s">
        <v>1098</v>
      </c>
      <c r="D1391" s="1" t="s">
        <v>0</v>
      </c>
      <c r="E1391" s="1" t="s">
        <v>12</v>
      </c>
      <c r="F1391" s="2" t="s">
        <v>0</v>
      </c>
      <c r="G1391" s="3">
        <v>5.07</v>
      </c>
    </row>
    <row r="1392" spans="1:7" ht="43.5" x14ac:dyDescent="0.25">
      <c r="A1392" s="2" t="str">
        <f>"00085013"</f>
        <v>00085013</v>
      </c>
      <c r="B1392" s="2" t="str">
        <f t="shared" si="52"/>
        <v xml:space="preserve">  </v>
      </c>
      <c r="C1392" s="1" t="s">
        <v>1099</v>
      </c>
      <c r="D1392" s="1" t="s">
        <v>0</v>
      </c>
      <c r="E1392" s="1" t="s">
        <v>12</v>
      </c>
      <c r="F1392" s="2" t="s">
        <v>0</v>
      </c>
      <c r="G1392" s="3">
        <v>7</v>
      </c>
    </row>
    <row r="1393" spans="1:7" ht="29.25" x14ac:dyDescent="0.25">
      <c r="A1393" s="2" t="str">
        <f>"00085014"</f>
        <v>00085014</v>
      </c>
      <c r="B1393" s="2" t="str">
        <f t="shared" si="52"/>
        <v xml:space="preserve">  </v>
      </c>
      <c r="C1393" s="1" t="s">
        <v>1100</v>
      </c>
      <c r="D1393" s="1" t="s">
        <v>0</v>
      </c>
      <c r="E1393" s="1" t="s">
        <v>12</v>
      </c>
      <c r="F1393" s="2" t="s">
        <v>0</v>
      </c>
      <c r="G1393" s="3">
        <v>2.37</v>
      </c>
    </row>
    <row r="1394" spans="1:7" x14ac:dyDescent="0.25">
      <c r="A1394" s="2" t="str">
        <f>"00085014"</f>
        <v>00085014</v>
      </c>
      <c r="B1394" s="2" t="str">
        <f>"QW"</f>
        <v>QW</v>
      </c>
      <c r="C1394" s="1" t="s">
        <v>1101</v>
      </c>
      <c r="D1394" s="1" t="s">
        <v>0</v>
      </c>
      <c r="E1394" s="1" t="s">
        <v>12</v>
      </c>
      <c r="F1394" s="2" t="s">
        <v>0</v>
      </c>
      <c r="G1394" s="3">
        <v>2.37</v>
      </c>
    </row>
    <row r="1395" spans="1:7" ht="29.25" x14ac:dyDescent="0.25">
      <c r="A1395" s="2" t="str">
        <f>"00085018"</f>
        <v>00085018</v>
      </c>
      <c r="B1395" s="2" t="str">
        <f>"  "</f>
        <v xml:space="preserve">  </v>
      </c>
      <c r="C1395" s="1" t="s">
        <v>1102</v>
      </c>
      <c r="D1395" s="1" t="s">
        <v>0</v>
      </c>
      <c r="E1395" s="1" t="s">
        <v>12</v>
      </c>
      <c r="F1395" s="2" t="s">
        <v>0</v>
      </c>
      <c r="G1395" s="3">
        <v>2.37</v>
      </c>
    </row>
    <row r="1396" spans="1:7" ht="29.25" x14ac:dyDescent="0.25">
      <c r="A1396" s="2" t="str">
        <f>"00085018"</f>
        <v>00085018</v>
      </c>
      <c r="B1396" s="2" t="str">
        <f>"QW"</f>
        <v>QW</v>
      </c>
      <c r="C1396" s="1" t="s">
        <v>1102</v>
      </c>
      <c r="D1396" s="1" t="s">
        <v>0</v>
      </c>
      <c r="E1396" s="1" t="s">
        <v>12</v>
      </c>
      <c r="F1396" s="2" t="s">
        <v>0</v>
      </c>
      <c r="G1396" s="3">
        <v>2.37</v>
      </c>
    </row>
    <row r="1397" spans="1:7" ht="86.25" x14ac:dyDescent="0.25">
      <c r="A1397" s="2" t="str">
        <f>"00085025"</f>
        <v>00085025</v>
      </c>
      <c r="B1397" s="2" t="str">
        <f>"  "</f>
        <v xml:space="preserve">  </v>
      </c>
      <c r="C1397" s="1" t="s">
        <v>1103</v>
      </c>
      <c r="D1397" s="1" t="s">
        <v>0</v>
      </c>
      <c r="E1397" s="1" t="s">
        <v>12</v>
      </c>
      <c r="F1397" s="2" t="s">
        <v>0</v>
      </c>
      <c r="G1397" s="3">
        <v>7.77</v>
      </c>
    </row>
    <row r="1398" spans="1:7" ht="86.25" x14ac:dyDescent="0.25">
      <c r="A1398" s="2" t="str">
        <f>"00085025"</f>
        <v>00085025</v>
      </c>
      <c r="B1398" s="2" t="str">
        <f>"QW"</f>
        <v>QW</v>
      </c>
      <c r="C1398" s="1" t="s">
        <v>1104</v>
      </c>
      <c r="D1398" s="1" t="s">
        <v>0</v>
      </c>
      <c r="E1398" s="1" t="s">
        <v>12</v>
      </c>
      <c r="F1398" s="2" t="s">
        <v>0</v>
      </c>
      <c r="G1398" s="3">
        <v>7.77</v>
      </c>
    </row>
    <row r="1399" spans="1:7" ht="57.75" x14ac:dyDescent="0.25">
      <c r="A1399" s="2" t="str">
        <f>"00085027"</f>
        <v>00085027</v>
      </c>
      <c r="B1399" s="2" t="str">
        <f t="shared" ref="B1399:B1430" si="53">"  "</f>
        <v xml:space="preserve">  </v>
      </c>
      <c r="C1399" s="1" t="s">
        <v>1105</v>
      </c>
      <c r="D1399" s="1" t="s">
        <v>0</v>
      </c>
      <c r="E1399" s="1" t="s">
        <v>12</v>
      </c>
      <c r="F1399" s="2" t="s">
        <v>0</v>
      </c>
      <c r="G1399" s="3">
        <v>6.47</v>
      </c>
    </row>
    <row r="1400" spans="1:7" ht="72" x14ac:dyDescent="0.25">
      <c r="A1400" s="2" t="str">
        <f>"00085032"</f>
        <v>00085032</v>
      </c>
      <c r="B1400" s="2" t="str">
        <f t="shared" si="53"/>
        <v xml:space="preserve">  </v>
      </c>
      <c r="C1400" s="1" t="s">
        <v>1106</v>
      </c>
      <c r="D1400" s="1" t="s">
        <v>0</v>
      </c>
      <c r="E1400" s="1" t="s">
        <v>12</v>
      </c>
      <c r="F1400" s="2" t="s">
        <v>0</v>
      </c>
      <c r="G1400" s="3">
        <v>4.3099999999999996</v>
      </c>
    </row>
    <row r="1401" spans="1:7" ht="43.5" x14ac:dyDescent="0.25">
      <c r="A1401" s="2" t="str">
        <f>"00085041"</f>
        <v>00085041</v>
      </c>
      <c r="B1401" s="2" t="str">
        <f t="shared" si="53"/>
        <v xml:space="preserve">  </v>
      </c>
      <c r="C1401" s="1" t="s">
        <v>1107</v>
      </c>
      <c r="D1401" s="1" t="s">
        <v>0</v>
      </c>
      <c r="E1401" s="1" t="s">
        <v>12</v>
      </c>
      <c r="F1401" s="2" t="s">
        <v>0</v>
      </c>
      <c r="G1401" s="3">
        <v>3.02</v>
      </c>
    </row>
    <row r="1402" spans="1:7" ht="29.25" x14ac:dyDescent="0.25">
      <c r="A1402" s="2" t="str">
        <f>"00085044"</f>
        <v>00085044</v>
      </c>
      <c r="B1402" s="2" t="str">
        <f t="shared" si="53"/>
        <v xml:space="preserve">  </v>
      </c>
      <c r="C1402" s="1" t="s">
        <v>1108</v>
      </c>
      <c r="D1402" s="1" t="s">
        <v>0</v>
      </c>
      <c r="E1402" s="1" t="s">
        <v>12</v>
      </c>
      <c r="F1402" s="2" t="s">
        <v>0</v>
      </c>
      <c r="G1402" s="3">
        <v>4.3099999999999996</v>
      </c>
    </row>
    <row r="1403" spans="1:7" ht="43.5" x14ac:dyDescent="0.25">
      <c r="A1403" s="2" t="str">
        <f>"00085045"</f>
        <v>00085045</v>
      </c>
      <c r="B1403" s="2" t="str">
        <f t="shared" si="53"/>
        <v xml:space="preserve">  </v>
      </c>
      <c r="C1403" s="1" t="s">
        <v>1109</v>
      </c>
      <c r="D1403" s="1" t="s">
        <v>0</v>
      </c>
      <c r="E1403" s="1" t="s">
        <v>12</v>
      </c>
      <c r="F1403" s="2" t="s">
        <v>0</v>
      </c>
      <c r="G1403" s="3">
        <v>3.99</v>
      </c>
    </row>
    <row r="1404" spans="1:7" ht="114.75" x14ac:dyDescent="0.25">
      <c r="A1404" s="2" t="str">
        <f>"00085046"</f>
        <v>00085046</v>
      </c>
      <c r="B1404" s="2" t="str">
        <f t="shared" si="53"/>
        <v xml:space="preserve">  </v>
      </c>
      <c r="C1404" s="1" t="s">
        <v>1110</v>
      </c>
      <c r="D1404" s="1" t="s">
        <v>0</v>
      </c>
      <c r="E1404" s="1" t="s">
        <v>12</v>
      </c>
      <c r="F1404" s="2" t="s">
        <v>0</v>
      </c>
      <c r="G1404" s="3">
        <v>5.57</v>
      </c>
    </row>
    <row r="1405" spans="1:7" ht="43.5" x14ac:dyDescent="0.25">
      <c r="A1405" s="2" t="str">
        <f>"00085048"</f>
        <v>00085048</v>
      </c>
      <c r="B1405" s="2" t="str">
        <f t="shared" si="53"/>
        <v xml:space="preserve">  </v>
      </c>
      <c r="C1405" s="1" t="s">
        <v>1111</v>
      </c>
      <c r="D1405" s="1" t="s">
        <v>0</v>
      </c>
      <c r="E1405" s="1" t="s">
        <v>12</v>
      </c>
      <c r="F1405" s="2" t="s">
        <v>0</v>
      </c>
      <c r="G1405" s="3">
        <v>2.54</v>
      </c>
    </row>
    <row r="1406" spans="1:7" ht="29.25" x14ac:dyDescent="0.25">
      <c r="A1406" s="2" t="str">
        <f>"00085049"</f>
        <v>00085049</v>
      </c>
      <c r="B1406" s="2" t="str">
        <f t="shared" si="53"/>
        <v xml:space="preserve">  </v>
      </c>
      <c r="C1406" s="1" t="s">
        <v>1112</v>
      </c>
      <c r="D1406" s="1" t="s">
        <v>0</v>
      </c>
      <c r="E1406" s="1" t="s">
        <v>12</v>
      </c>
      <c r="F1406" s="2" t="s">
        <v>0</v>
      </c>
      <c r="G1406" s="3">
        <v>4.4800000000000004</v>
      </c>
    </row>
    <row r="1407" spans="1:7" ht="29.25" x14ac:dyDescent="0.25">
      <c r="A1407" s="2" t="str">
        <f>"00085055"</f>
        <v>00085055</v>
      </c>
      <c r="B1407" s="2" t="str">
        <f t="shared" si="53"/>
        <v xml:space="preserve">  </v>
      </c>
      <c r="C1407" s="1" t="s">
        <v>1113</v>
      </c>
      <c r="D1407" s="1" t="s">
        <v>0</v>
      </c>
      <c r="E1407" s="1" t="s">
        <v>12</v>
      </c>
      <c r="F1407" s="2" t="s">
        <v>0</v>
      </c>
      <c r="G1407" s="3">
        <v>35.74</v>
      </c>
    </row>
    <row r="1408" spans="1:7" ht="29.25" x14ac:dyDescent="0.25">
      <c r="A1408" s="2" t="str">
        <f>"00085130"</f>
        <v>00085130</v>
      </c>
      <c r="B1408" s="2" t="str">
        <f t="shared" si="53"/>
        <v xml:space="preserve">  </v>
      </c>
      <c r="C1408" s="1" t="s">
        <v>1114</v>
      </c>
      <c r="D1408" s="1" t="s">
        <v>0</v>
      </c>
      <c r="E1408" s="1" t="s">
        <v>12</v>
      </c>
      <c r="F1408" s="2" t="s">
        <v>0</v>
      </c>
      <c r="G1408" s="3">
        <v>11.89</v>
      </c>
    </row>
    <row r="1409" spans="1:7" ht="29.25" x14ac:dyDescent="0.25">
      <c r="A1409" s="2" t="str">
        <f>"00085170"</f>
        <v>00085170</v>
      </c>
      <c r="B1409" s="2" t="str">
        <f t="shared" si="53"/>
        <v xml:space="preserve">  </v>
      </c>
      <c r="C1409" s="1" t="s">
        <v>1115</v>
      </c>
      <c r="D1409" s="1" t="s">
        <v>0</v>
      </c>
      <c r="E1409" s="1" t="s">
        <v>12</v>
      </c>
      <c r="F1409" s="2" t="s">
        <v>0</v>
      </c>
      <c r="G1409" s="3">
        <v>16.3</v>
      </c>
    </row>
    <row r="1410" spans="1:7" ht="29.25" x14ac:dyDescent="0.25">
      <c r="A1410" s="2" t="str">
        <f>"00085175"</f>
        <v>00085175</v>
      </c>
      <c r="B1410" s="2" t="str">
        <f t="shared" si="53"/>
        <v xml:space="preserve">  </v>
      </c>
      <c r="C1410" s="1" t="s">
        <v>1116</v>
      </c>
      <c r="D1410" s="1" t="s">
        <v>0</v>
      </c>
      <c r="E1410" s="1" t="s">
        <v>12</v>
      </c>
      <c r="F1410" s="2" t="s">
        <v>0</v>
      </c>
      <c r="G1410" s="3">
        <v>20.37</v>
      </c>
    </row>
    <row r="1411" spans="1:7" x14ac:dyDescent="0.25">
      <c r="A1411" s="2" t="str">
        <f>"00085210"</f>
        <v>00085210</v>
      </c>
      <c r="B1411" s="2" t="str">
        <f t="shared" si="53"/>
        <v xml:space="preserve">  </v>
      </c>
      <c r="C1411" s="1" t="s">
        <v>1117</v>
      </c>
      <c r="D1411" s="1" t="s">
        <v>0</v>
      </c>
      <c r="E1411" s="1" t="s">
        <v>12</v>
      </c>
      <c r="F1411" s="2" t="s">
        <v>0</v>
      </c>
      <c r="G1411" s="3">
        <v>12.98</v>
      </c>
    </row>
    <row r="1412" spans="1:7" ht="29.25" x14ac:dyDescent="0.25">
      <c r="A1412" s="2" t="str">
        <f>"00085220"</f>
        <v>00085220</v>
      </c>
      <c r="B1412" s="2" t="str">
        <f t="shared" si="53"/>
        <v xml:space="preserve">  </v>
      </c>
      <c r="C1412" s="1" t="s">
        <v>1118</v>
      </c>
      <c r="D1412" s="1" t="s">
        <v>0</v>
      </c>
      <c r="E1412" s="1" t="s">
        <v>12</v>
      </c>
      <c r="F1412" s="2" t="s">
        <v>0</v>
      </c>
      <c r="G1412" s="3">
        <v>17.649999999999999</v>
      </c>
    </row>
    <row r="1413" spans="1:7" ht="29.25" x14ac:dyDescent="0.25">
      <c r="A1413" s="2" t="str">
        <f>"00085230"</f>
        <v>00085230</v>
      </c>
      <c r="B1413" s="2" t="str">
        <f t="shared" si="53"/>
        <v xml:space="preserve">  </v>
      </c>
      <c r="C1413" s="1" t="s">
        <v>1119</v>
      </c>
      <c r="D1413" s="1" t="s">
        <v>0</v>
      </c>
      <c r="E1413" s="1" t="s">
        <v>12</v>
      </c>
      <c r="F1413" s="2" t="s">
        <v>0</v>
      </c>
      <c r="G1413" s="3">
        <v>17.899999999999999</v>
      </c>
    </row>
    <row r="1414" spans="1:7" x14ac:dyDescent="0.25">
      <c r="A1414" s="2" t="str">
        <f>"00085240"</f>
        <v>00085240</v>
      </c>
      <c r="B1414" s="2" t="str">
        <f t="shared" si="53"/>
        <v xml:space="preserve">  </v>
      </c>
      <c r="C1414" s="1" t="s">
        <v>1120</v>
      </c>
      <c r="D1414" s="1" t="s">
        <v>0</v>
      </c>
      <c r="E1414" s="1" t="s">
        <v>12</v>
      </c>
      <c r="F1414" s="2" t="s">
        <v>0</v>
      </c>
      <c r="G1414" s="3">
        <v>17.899999999999999</v>
      </c>
    </row>
    <row r="1415" spans="1:7" ht="29.25" x14ac:dyDescent="0.25">
      <c r="A1415" s="2" t="str">
        <f>"00085244"</f>
        <v>00085244</v>
      </c>
      <c r="B1415" s="2" t="str">
        <f t="shared" si="53"/>
        <v xml:space="preserve">  </v>
      </c>
      <c r="C1415" s="1" t="s">
        <v>1121</v>
      </c>
      <c r="D1415" s="1" t="s">
        <v>0</v>
      </c>
      <c r="E1415" s="1" t="s">
        <v>12</v>
      </c>
      <c r="F1415" s="2" t="s">
        <v>0</v>
      </c>
      <c r="G1415" s="3">
        <v>20.420000000000002</v>
      </c>
    </row>
    <row r="1416" spans="1:7" ht="29.25" x14ac:dyDescent="0.25">
      <c r="A1416" s="2" t="str">
        <f>"00085245"</f>
        <v>00085245</v>
      </c>
      <c r="B1416" s="2" t="str">
        <f t="shared" si="53"/>
        <v xml:space="preserve">  </v>
      </c>
      <c r="C1416" s="1" t="s">
        <v>1122</v>
      </c>
      <c r="D1416" s="1" t="s">
        <v>0</v>
      </c>
      <c r="E1416" s="1" t="s">
        <v>12</v>
      </c>
      <c r="F1416" s="2" t="s">
        <v>0</v>
      </c>
      <c r="G1416" s="3">
        <v>22.94</v>
      </c>
    </row>
    <row r="1417" spans="1:7" ht="29.25" x14ac:dyDescent="0.25">
      <c r="A1417" s="2" t="str">
        <f>"00085246"</f>
        <v>00085246</v>
      </c>
      <c r="B1417" s="2" t="str">
        <f t="shared" si="53"/>
        <v xml:space="preserve">  </v>
      </c>
      <c r="C1417" s="1" t="s">
        <v>1123</v>
      </c>
      <c r="D1417" s="1" t="s">
        <v>0</v>
      </c>
      <c r="E1417" s="1" t="s">
        <v>12</v>
      </c>
      <c r="F1417" s="2" t="s">
        <v>0</v>
      </c>
      <c r="G1417" s="3">
        <v>22.94</v>
      </c>
    </row>
    <row r="1418" spans="1:7" ht="43.5" x14ac:dyDescent="0.25">
      <c r="A1418" s="2" t="str">
        <f>"00085247"</f>
        <v>00085247</v>
      </c>
      <c r="B1418" s="2" t="str">
        <f t="shared" si="53"/>
        <v xml:space="preserve">  </v>
      </c>
      <c r="C1418" s="1" t="s">
        <v>1124</v>
      </c>
      <c r="D1418" s="1" t="s">
        <v>0</v>
      </c>
      <c r="E1418" s="1" t="s">
        <v>12</v>
      </c>
      <c r="F1418" s="2" t="s">
        <v>0</v>
      </c>
      <c r="G1418" s="3">
        <v>22.94</v>
      </c>
    </row>
    <row r="1419" spans="1:7" ht="29.25" x14ac:dyDescent="0.25">
      <c r="A1419" s="2" t="str">
        <f>"00085250"</f>
        <v>00085250</v>
      </c>
      <c r="B1419" s="2" t="str">
        <f t="shared" si="53"/>
        <v xml:space="preserve">  </v>
      </c>
      <c r="C1419" s="1" t="s">
        <v>1125</v>
      </c>
      <c r="D1419" s="1" t="s">
        <v>0</v>
      </c>
      <c r="E1419" s="1" t="s">
        <v>12</v>
      </c>
      <c r="F1419" s="2" t="s">
        <v>0</v>
      </c>
      <c r="G1419" s="3">
        <v>19.04</v>
      </c>
    </row>
    <row r="1420" spans="1:7" ht="29.25" x14ac:dyDescent="0.25">
      <c r="A1420" s="2" t="str">
        <f>"00085260"</f>
        <v>00085260</v>
      </c>
      <c r="B1420" s="2" t="str">
        <f t="shared" si="53"/>
        <v xml:space="preserve">  </v>
      </c>
      <c r="C1420" s="1" t="s">
        <v>1126</v>
      </c>
      <c r="D1420" s="1" t="s">
        <v>0</v>
      </c>
      <c r="E1420" s="1" t="s">
        <v>12</v>
      </c>
      <c r="F1420" s="2" t="s">
        <v>0</v>
      </c>
      <c r="G1420" s="3">
        <v>17.899999999999999</v>
      </c>
    </row>
    <row r="1421" spans="1:7" x14ac:dyDescent="0.25">
      <c r="A1421" s="2" t="str">
        <f>"00085270"</f>
        <v>00085270</v>
      </c>
      <c r="B1421" s="2" t="str">
        <f t="shared" si="53"/>
        <v xml:space="preserve">  </v>
      </c>
      <c r="C1421" s="1" t="s">
        <v>1127</v>
      </c>
      <c r="D1421" s="1" t="s">
        <v>0</v>
      </c>
      <c r="E1421" s="1" t="s">
        <v>12</v>
      </c>
      <c r="F1421" s="2" t="s">
        <v>0</v>
      </c>
      <c r="G1421" s="3">
        <v>17.899999999999999</v>
      </c>
    </row>
    <row r="1422" spans="1:7" x14ac:dyDescent="0.25">
      <c r="A1422" s="2" t="str">
        <f>"00085280"</f>
        <v>00085280</v>
      </c>
      <c r="B1422" s="2" t="str">
        <f t="shared" si="53"/>
        <v xml:space="preserve">  </v>
      </c>
      <c r="C1422" s="1" t="s">
        <v>1128</v>
      </c>
      <c r="D1422" s="1" t="s">
        <v>0</v>
      </c>
      <c r="E1422" s="1" t="s">
        <v>12</v>
      </c>
      <c r="F1422" s="2" t="s">
        <v>0</v>
      </c>
      <c r="G1422" s="3">
        <v>19.350000000000001</v>
      </c>
    </row>
    <row r="1423" spans="1:7" ht="43.5" x14ac:dyDescent="0.25">
      <c r="A1423" s="2" t="str">
        <f>"00085290"</f>
        <v>00085290</v>
      </c>
      <c r="B1423" s="2" t="str">
        <f t="shared" si="53"/>
        <v xml:space="preserve">  </v>
      </c>
      <c r="C1423" s="1" t="s">
        <v>1129</v>
      </c>
      <c r="D1423" s="1" t="s">
        <v>0</v>
      </c>
      <c r="E1423" s="1" t="s">
        <v>12</v>
      </c>
      <c r="F1423" s="2" t="s">
        <v>0</v>
      </c>
      <c r="G1423" s="3">
        <v>16.34</v>
      </c>
    </row>
    <row r="1424" spans="1:7" ht="43.5" x14ac:dyDescent="0.25">
      <c r="A1424" s="2" t="str">
        <f>"00085291"</f>
        <v>00085291</v>
      </c>
      <c r="B1424" s="2" t="str">
        <f t="shared" si="53"/>
        <v xml:space="preserve">  </v>
      </c>
      <c r="C1424" s="1" t="s">
        <v>1130</v>
      </c>
      <c r="D1424" s="1" t="s">
        <v>0</v>
      </c>
      <c r="E1424" s="1" t="s">
        <v>12</v>
      </c>
      <c r="F1424" s="2" t="s">
        <v>0</v>
      </c>
      <c r="G1424" s="3">
        <v>9.11</v>
      </c>
    </row>
    <row r="1425" spans="1:7" ht="29.25" x14ac:dyDescent="0.25">
      <c r="A1425" s="2" t="str">
        <f>"00085292"</f>
        <v>00085292</v>
      </c>
      <c r="B1425" s="2" t="str">
        <f t="shared" si="53"/>
        <v xml:space="preserve">  </v>
      </c>
      <c r="C1425" s="1" t="s">
        <v>1131</v>
      </c>
      <c r="D1425" s="1" t="s">
        <v>0</v>
      </c>
      <c r="E1425" s="1" t="s">
        <v>12</v>
      </c>
      <c r="F1425" s="2" t="s">
        <v>0</v>
      </c>
      <c r="G1425" s="3">
        <v>18.93</v>
      </c>
    </row>
    <row r="1426" spans="1:7" ht="43.5" x14ac:dyDescent="0.25">
      <c r="A1426" s="2" t="str">
        <f>"00085293"</f>
        <v>00085293</v>
      </c>
      <c r="B1426" s="2" t="str">
        <f t="shared" si="53"/>
        <v xml:space="preserve">  </v>
      </c>
      <c r="C1426" s="1" t="s">
        <v>1132</v>
      </c>
      <c r="D1426" s="1" t="s">
        <v>0</v>
      </c>
      <c r="E1426" s="1" t="s">
        <v>12</v>
      </c>
      <c r="F1426" s="2" t="s">
        <v>0</v>
      </c>
      <c r="G1426" s="3">
        <v>18.93</v>
      </c>
    </row>
    <row r="1427" spans="1:7" ht="43.5" x14ac:dyDescent="0.25">
      <c r="A1427" s="2" t="str">
        <f>"00085300"</f>
        <v>00085300</v>
      </c>
      <c r="B1427" s="2" t="str">
        <f t="shared" si="53"/>
        <v xml:space="preserve">  </v>
      </c>
      <c r="C1427" s="1" t="s">
        <v>1133</v>
      </c>
      <c r="D1427" s="1" t="s">
        <v>0</v>
      </c>
      <c r="E1427" s="1" t="s">
        <v>12</v>
      </c>
      <c r="F1427" s="2" t="s">
        <v>0</v>
      </c>
      <c r="G1427" s="3">
        <v>11.85</v>
      </c>
    </row>
    <row r="1428" spans="1:7" ht="29.25" x14ac:dyDescent="0.25">
      <c r="A1428" s="2" t="str">
        <f>"00085301"</f>
        <v>00085301</v>
      </c>
      <c r="B1428" s="2" t="str">
        <f t="shared" si="53"/>
        <v xml:space="preserve">  </v>
      </c>
      <c r="C1428" s="1" t="s">
        <v>1134</v>
      </c>
      <c r="D1428" s="1" t="s">
        <v>0</v>
      </c>
      <c r="E1428" s="1" t="s">
        <v>12</v>
      </c>
      <c r="F1428" s="2" t="s">
        <v>0</v>
      </c>
      <c r="G1428" s="3">
        <v>10.81</v>
      </c>
    </row>
    <row r="1429" spans="1:7" x14ac:dyDescent="0.25">
      <c r="A1429" s="2" t="str">
        <f>"00085302"</f>
        <v>00085302</v>
      </c>
      <c r="B1429" s="2" t="str">
        <f t="shared" si="53"/>
        <v xml:space="preserve">  </v>
      </c>
      <c r="C1429" s="1" t="s">
        <v>1135</v>
      </c>
      <c r="D1429" s="1" t="s">
        <v>0</v>
      </c>
      <c r="E1429" s="1" t="s">
        <v>12</v>
      </c>
      <c r="F1429" s="2" t="s">
        <v>0</v>
      </c>
      <c r="G1429" s="3">
        <v>12.01</v>
      </c>
    </row>
    <row r="1430" spans="1:7" x14ac:dyDescent="0.25">
      <c r="A1430" s="2" t="str">
        <f>"00085303"</f>
        <v>00085303</v>
      </c>
      <c r="B1430" s="2" t="str">
        <f t="shared" si="53"/>
        <v xml:space="preserve">  </v>
      </c>
      <c r="C1430" s="1" t="s">
        <v>1136</v>
      </c>
      <c r="D1430" s="1" t="s">
        <v>0</v>
      </c>
      <c r="E1430" s="1" t="s">
        <v>12</v>
      </c>
      <c r="F1430" s="2" t="s">
        <v>0</v>
      </c>
      <c r="G1430" s="3">
        <v>13.84</v>
      </c>
    </row>
    <row r="1431" spans="1:7" ht="43.5" x14ac:dyDescent="0.25">
      <c r="A1431" s="2" t="str">
        <f>"00085305"</f>
        <v>00085305</v>
      </c>
      <c r="B1431" s="2" t="str">
        <f t="shared" ref="B1431:B1462" si="54">"  "</f>
        <v xml:space="preserve">  </v>
      </c>
      <c r="C1431" s="1" t="s">
        <v>1137</v>
      </c>
      <c r="D1431" s="1" t="s">
        <v>0</v>
      </c>
      <c r="E1431" s="1" t="s">
        <v>12</v>
      </c>
      <c r="F1431" s="2" t="s">
        <v>0</v>
      </c>
      <c r="G1431" s="3">
        <v>11.61</v>
      </c>
    </row>
    <row r="1432" spans="1:7" x14ac:dyDescent="0.25">
      <c r="A1432" s="2" t="str">
        <f>"00085306"</f>
        <v>00085306</v>
      </c>
      <c r="B1432" s="2" t="str">
        <f t="shared" si="54"/>
        <v xml:space="preserve">  </v>
      </c>
      <c r="C1432" s="1" t="s">
        <v>1138</v>
      </c>
      <c r="D1432" s="1" t="s">
        <v>0</v>
      </c>
      <c r="E1432" s="1" t="s">
        <v>12</v>
      </c>
      <c r="F1432" s="2" t="s">
        <v>0</v>
      </c>
      <c r="G1432" s="3">
        <v>15.32</v>
      </c>
    </row>
    <row r="1433" spans="1:7" ht="29.25" x14ac:dyDescent="0.25">
      <c r="A1433" s="2" t="str">
        <f>"00085307"</f>
        <v>00085307</v>
      </c>
      <c r="B1433" s="2" t="str">
        <f t="shared" si="54"/>
        <v xml:space="preserve">  </v>
      </c>
      <c r="C1433" s="1" t="s">
        <v>1139</v>
      </c>
      <c r="D1433" s="1" t="s">
        <v>0</v>
      </c>
      <c r="E1433" s="1" t="s">
        <v>12</v>
      </c>
      <c r="F1433" s="2" t="s">
        <v>0</v>
      </c>
      <c r="G1433" s="3">
        <v>15.32</v>
      </c>
    </row>
    <row r="1434" spans="1:7" x14ac:dyDescent="0.25">
      <c r="A1434" s="2" t="str">
        <f>"00085335"</f>
        <v>00085335</v>
      </c>
      <c r="B1434" s="2" t="str">
        <f t="shared" si="54"/>
        <v xml:space="preserve">  </v>
      </c>
      <c r="C1434" s="1" t="s">
        <v>1140</v>
      </c>
      <c r="D1434" s="1" t="s">
        <v>0</v>
      </c>
      <c r="E1434" s="1" t="s">
        <v>12</v>
      </c>
      <c r="F1434" s="2" t="s">
        <v>0</v>
      </c>
      <c r="G1434" s="3">
        <v>12.87</v>
      </c>
    </row>
    <row r="1435" spans="1:7" x14ac:dyDescent="0.25">
      <c r="A1435" s="2" t="str">
        <f>"00085337"</f>
        <v>00085337</v>
      </c>
      <c r="B1435" s="2" t="str">
        <f t="shared" si="54"/>
        <v xml:space="preserve">  </v>
      </c>
      <c r="C1435" s="1" t="s">
        <v>1141</v>
      </c>
      <c r="D1435" s="1" t="s">
        <v>0</v>
      </c>
      <c r="E1435" s="1" t="s">
        <v>12</v>
      </c>
      <c r="F1435" s="2" t="s">
        <v>0</v>
      </c>
      <c r="G1435" s="3">
        <v>17.27</v>
      </c>
    </row>
    <row r="1436" spans="1:7" ht="29.25" x14ac:dyDescent="0.25">
      <c r="A1436" s="2" t="str">
        <f>"00085345"</f>
        <v>00085345</v>
      </c>
      <c r="B1436" s="2" t="str">
        <f t="shared" si="54"/>
        <v xml:space="preserve">  </v>
      </c>
      <c r="C1436" s="1" t="s">
        <v>1142</v>
      </c>
      <c r="D1436" s="1" t="s">
        <v>0</v>
      </c>
      <c r="E1436" s="1" t="s">
        <v>12</v>
      </c>
      <c r="F1436" s="2" t="s">
        <v>0</v>
      </c>
      <c r="G1436" s="3">
        <v>4.6900000000000004</v>
      </c>
    </row>
    <row r="1437" spans="1:7" ht="29.25" x14ac:dyDescent="0.25">
      <c r="A1437" s="2" t="str">
        <f>"00085347"</f>
        <v>00085347</v>
      </c>
      <c r="B1437" s="2" t="str">
        <f t="shared" si="54"/>
        <v xml:space="preserve">  </v>
      </c>
      <c r="C1437" s="1" t="s">
        <v>1143</v>
      </c>
      <c r="D1437" s="1" t="s">
        <v>0</v>
      </c>
      <c r="E1437" s="1" t="s">
        <v>12</v>
      </c>
      <c r="F1437" s="2" t="s">
        <v>0</v>
      </c>
      <c r="G1437" s="3">
        <v>4.28</v>
      </c>
    </row>
    <row r="1438" spans="1:7" ht="29.25" x14ac:dyDescent="0.25">
      <c r="A1438" s="2" t="str">
        <f>"00085348"</f>
        <v>00085348</v>
      </c>
      <c r="B1438" s="2" t="str">
        <f t="shared" si="54"/>
        <v xml:space="preserve">  </v>
      </c>
      <c r="C1438" s="1" t="s">
        <v>1144</v>
      </c>
      <c r="D1438" s="1" t="s">
        <v>0</v>
      </c>
      <c r="E1438" s="1" t="s">
        <v>12</v>
      </c>
      <c r="F1438" s="2" t="s">
        <v>0</v>
      </c>
      <c r="G1438" s="3">
        <v>4.49</v>
      </c>
    </row>
    <row r="1439" spans="1:7" x14ac:dyDescent="0.25">
      <c r="A1439" s="2" t="str">
        <f>"00085360"</f>
        <v>00085360</v>
      </c>
      <c r="B1439" s="2" t="str">
        <f t="shared" si="54"/>
        <v xml:space="preserve">  </v>
      </c>
      <c r="C1439" s="1" t="s">
        <v>1145</v>
      </c>
      <c r="D1439" s="1" t="s">
        <v>0</v>
      </c>
      <c r="E1439" s="1" t="s">
        <v>12</v>
      </c>
      <c r="F1439" s="2" t="s">
        <v>0</v>
      </c>
      <c r="G1439" s="3">
        <v>8.41</v>
      </c>
    </row>
    <row r="1440" spans="1:7" ht="72" x14ac:dyDescent="0.25">
      <c r="A1440" s="2" t="str">
        <f>"00085362"</f>
        <v>00085362</v>
      </c>
      <c r="B1440" s="2" t="str">
        <f t="shared" si="54"/>
        <v xml:space="preserve">  </v>
      </c>
      <c r="C1440" s="1" t="s">
        <v>1146</v>
      </c>
      <c r="D1440" s="1" t="s">
        <v>0</v>
      </c>
      <c r="E1440" s="1" t="s">
        <v>12</v>
      </c>
      <c r="F1440" s="2" t="s">
        <v>0</v>
      </c>
      <c r="G1440" s="3">
        <v>6.89</v>
      </c>
    </row>
    <row r="1441" spans="1:7" x14ac:dyDescent="0.25">
      <c r="A1441" s="2" t="str">
        <f>"00085366"</f>
        <v>00085366</v>
      </c>
      <c r="B1441" s="2" t="str">
        <f t="shared" si="54"/>
        <v xml:space="preserve">  </v>
      </c>
      <c r="C1441" s="1" t="s">
        <v>1147</v>
      </c>
      <c r="D1441" s="1" t="s">
        <v>0</v>
      </c>
      <c r="E1441" s="1" t="s">
        <v>12</v>
      </c>
      <c r="F1441" s="2" t="s">
        <v>0</v>
      </c>
      <c r="G1441" s="3">
        <v>80.459999999999994</v>
      </c>
    </row>
    <row r="1442" spans="1:7" x14ac:dyDescent="0.25">
      <c r="A1442" s="2" t="str">
        <f>"00085370"</f>
        <v>00085370</v>
      </c>
      <c r="B1442" s="2" t="str">
        <f t="shared" si="54"/>
        <v xml:space="preserve">  </v>
      </c>
      <c r="C1442" s="1" t="s">
        <v>1148</v>
      </c>
      <c r="D1442" s="1" t="s">
        <v>0</v>
      </c>
      <c r="E1442" s="1" t="s">
        <v>12</v>
      </c>
      <c r="F1442" s="2" t="s">
        <v>0</v>
      </c>
      <c r="G1442" s="3">
        <v>12.43</v>
      </c>
    </row>
    <row r="1443" spans="1:7" ht="57.75" x14ac:dyDescent="0.25">
      <c r="A1443" s="2" t="str">
        <f>"00085378"</f>
        <v>00085378</v>
      </c>
      <c r="B1443" s="2" t="str">
        <f t="shared" si="54"/>
        <v xml:space="preserve">  </v>
      </c>
      <c r="C1443" s="1" t="s">
        <v>1149</v>
      </c>
      <c r="D1443" s="1" t="s">
        <v>0</v>
      </c>
      <c r="E1443" s="1" t="s">
        <v>12</v>
      </c>
      <c r="F1443" s="2" t="s">
        <v>0</v>
      </c>
      <c r="G1443" s="3">
        <v>9.7200000000000006</v>
      </c>
    </row>
    <row r="1444" spans="1:7" ht="29.25" x14ac:dyDescent="0.25">
      <c r="A1444" s="2" t="str">
        <f>"00085379"</f>
        <v>00085379</v>
      </c>
      <c r="B1444" s="2" t="str">
        <f t="shared" si="54"/>
        <v xml:space="preserve">  </v>
      </c>
      <c r="C1444" s="1" t="s">
        <v>1150</v>
      </c>
      <c r="D1444" s="1" t="s">
        <v>0</v>
      </c>
      <c r="E1444" s="1" t="s">
        <v>12</v>
      </c>
      <c r="F1444" s="2" t="s">
        <v>0</v>
      </c>
      <c r="G1444" s="3">
        <v>10.18</v>
      </c>
    </row>
    <row r="1445" spans="1:7" ht="100.5" x14ac:dyDescent="0.25">
      <c r="A1445" s="2" t="str">
        <f>"00085380"</f>
        <v>00085380</v>
      </c>
      <c r="B1445" s="2" t="str">
        <f t="shared" si="54"/>
        <v xml:space="preserve">  </v>
      </c>
      <c r="C1445" s="1" t="s">
        <v>1151</v>
      </c>
      <c r="D1445" s="1" t="s">
        <v>0</v>
      </c>
      <c r="E1445" s="1" t="s">
        <v>12</v>
      </c>
      <c r="F1445" s="2" t="s">
        <v>0</v>
      </c>
      <c r="G1445" s="3">
        <v>10.18</v>
      </c>
    </row>
    <row r="1446" spans="1:7" x14ac:dyDescent="0.25">
      <c r="A1446" s="2" t="str">
        <f>"00085384"</f>
        <v>00085384</v>
      </c>
      <c r="B1446" s="2" t="str">
        <f t="shared" si="54"/>
        <v xml:space="preserve">  </v>
      </c>
      <c r="C1446" s="1" t="s">
        <v>1152</v>
      </c>
      <c r="D1446" s="1" t="s">
        <v>0</v>
      </c>
      <c r="E1446" s="1" t="s">
        <v>12</v>
      </c>
      <c r="F1446" s="2" t="s">
        <v>0</v>
      </c>
      <c r="G1446" s="3">
        <v>9.7200000000000006</v>
      </c>
    </row>
    <row r="1447" spans="1:7" x14ac:dyDescent="0.25">
      <c r="A1447" s="2" t="str">
        <f>"00085385"</f>
        <v>00085385</v>
      </c>
      <c r="B1447" s="2" t="str">
        <f t="shared" si="54"/>
        <v xml:space="preserve">  </v>
      </c>
      <c r="C1447" s="1" t="s">
        <v>1153</v>
      </c>
      <c r="D1447" s="1" t="s">
        <v>0</v>
      </c>
      <c r="E1447" s="1" t="s">
        <v>12</v>
      </c>
      <c r="F1447" s="2" t="s">
        <v>0</v>
      </c>
      <c r="G1447" s="3">
        <v>14.46</v>
      </c>
    </row>
    <row r="1448" spans="1:7" ht="29.25" x14ac:dyDescent="0.25">
      <c r="A1448" s="2" t="str">
        <f>"00085390"</f>
        <v>00085390</v>
      </c>
      <c r="B1448" s="2" t="str">
        <f t="shared" si="54"/>
        <v xml:space="preserve">  </v>
      </c>
      <c r="C1448" s="1" t="s">
        <v>1154</v>
      </c>
      <c r="D1448" s="1" t="s">
        <v>0</v>
      </c>
      <c r="E1448" s="1" t="s">
        <v>12</v>
      </c>
      <c r="F1448" s="2" t="s">
        <v>0</v>
      </c>
      <c r="G1448" s="3">
        <v>15.48</v>
      </c>
    </row>
    <row r="1449" spans="1:7" ht="72" x14ac:dyDescent="0.25">
      <c r="A1449" s="2" t="str">
        <f>"00085397"</f>
        <v>00085397</v>
      </c>
      <c r="B1449" s="2" t="str">
        <f t="shared" si="54"/>
        <v xml:space="preserve">  </v>
      </c>
      <c r="C1449" s="1" t="s">
        <v>1155</v>
      </c>
      <c r="D1449" s="1" t="s">
        <v>0</v>
      </c>
      <c r="E1449" s="1" t="s">
        <v>12</v>
      </c>
      <c r="F1449" s="2" t="s">
        <v>0</v>
      </c>
      <c r="G1449" s="3">
        <v>30.86</v>
      </c>
    </row>
    <row r="1450" spans="1:7" ht="29.25" x14ac:dyDescent="0.25">
      <c r="A1450" s="2" t="str">
        <f>"00085400"</f>
        <v>00085400</v>
      </c>
      <c r="B1450" s="2" t="str">
        <f t="shared" si="54"/>
        <v xml:space="preserve">  </v>
      </c>
      <c r="C1450" s="1" t="s">
        <v>1156</v>
      </c>
      <c r="D1450" s="1" t="s">
        <v>0</v>
      </c>
      <c r="E1450" s="1" t="s">
        <v>12</v>
      </c>
      <c r="F1450" s="2" t="s">
        <v>0</v>
      </c>
      <c r="G1450" s="3">
        <v>7.71</v>
      </c>
    </row>
    <row r="1451" spans="1:7" x14ac:dyDescent="0.25">
      <c r="A1451" s="2" t="str">
        <f>"00085410"</f>
        <v>00085410</v>
      </c>
      <c r="B1451" s="2" t="str">
        <f t="shared" si="54"/>
        <v xml:space="preserve">  </v>
      </c>
      <c r="C1451" s="1" t="s">
        <v>1157</v>
      </c>
      <c r="D1451" s="1" t="s">
        <v>0</v>
      </c>
      <c r="E1451" s="1" t="s">
        <v>12</v>
      </c>
      <c r="F1451" s="2" t="s">
        <v>0</v>
      </c>
      <c r="G1451" s="3">
        <v>7.71</v>
      </c>
    </row>
    <row r="1452" spans="1:7" x14ac:dyDescent="0.25">
      <c r="A1452" s="2" t="str">
        <f>"00085415"</f>
        <v>00085415</v>
      </c>
      <c r="B1452" s="2" t="str">
        <f t="shared" si="54"/>
        <v xml:space="preserve">  </v>
      </c>
      <c r="C1452" s="1" t="s">
        <v>1158</v>
      </c>
      <c r="D1452" s="1" t="s">
        <v>0</v>
      </c>
      <c r="E1452" s="1" t="s">
        <v>12</v>
      </c>
      <c r="F1452" s="2" t="s">
        <v>0</v>
      </c>
      <c r="G1452" s="3">
        <v>17.190000000000001</v>
      </c>
    </row>
    <row r="1453" spans="1:7" x14ac:dyDescent="0.25">
      <c r="A1453" s="2" t="str">
        <f>"00085420"</f>
        <v>00085420</v>
      </c>
      <c r="B1453" s="2" t="str">
        <f t="shared" si="54"/>
        <v xml:space="preserve">  </v>
      </c>
      <c r="C1453" s="1" t="s">
        <v>1159</v>
      </c>
      <c r="D1453" s="1" t="s">
        <v>0</v>
      </c>
      <c r="E1453" s="1" t="s">
        <v>12</v>
      </c>
      <c r="F1453" s="2" t="s">
        <v>0</v>
      </c>
      <c r="G1453" s="3">
        <v>6.53</v>
      </c>
    </row>
    <row r="1454" spans="1:7" ht="29.25" x14ac:dyDescent="0.25">
      <c r="A1454" s="2" t="str">
        <f>"00085421"</f>
        <v>00085421</v>
      </c>
      <c r="B1454" s="2" t="str">
        <f t="shared" si="54"/>
        <v xml:space="preserve">  </v>
      </c>
      <c r="C1454" s="1" t="s">
        <v>1160</v>
      </c>
      <c r="D1454" s="1" t="s">
        <v>0</v>
      </c>
      <c r="E1454" s="1" t="s">
        <v>12</v>
      </c>
      <c r="F1454" s="2" t="s">
        <v>0</v>
      </c>
      <c r="G1454" s="3">
        <v>10.18</v>
      </c>
    </row>
    <row r="1455" spans="1:7" x14ac:dyDescent="0.25">
      <c r="A1455" s="2" t="str">
        <f>"00085441"</f>
        <v>00085441</v>
      </c>
      <c r="B1455" s="2" t="str">
        <f t="shared" si="54"/>
        <v xml:space="preserve">  </v>
      </c>
      <c r="C1455" s="1" t="s">
        <v>1161</v>
      </c>
      <c r="D1455" s="1" t="s">
        <v>0</v>
      </c>
      <c r="E1455" s="1" t="s">
        <v>12</v>
      </c>
      <c r="F1455" s="2" t="s">
        <v>0</v>
      </c>
      <c r="G1455" s="3">
        <v>4.2</v>
      </c>
    </row>
    <row r="1456" spans="1:7" ht="29.25" x14ac:dyDescent="0.25">
      <c r="A1456" s="2" t="str">
        <f>"00085445"</f>
        <v>00085445</v>
      </c>
      <c r="B1456" s="2" t="str">
        <f t="shared" si="54"/>
        <v xml:space="preserve">  </v>
      </c>
      <c r="C1456" s="1" t="s">
        <v>1162</v>
      </c>
      <c r="D1456" s="1" t="s">
        <v>0</v>
      </c>
      <c r="E1456" s="1" t="s">
        <v>12</v>
      </c>
      <c r="F1456" s="2" t="s">
        <v>0</v>
      </c>
      <c r="G1456" s="3">
        <v>6.82</v>
      </c>
    </row>
    <row r="1457" spans="1:7" ht="57.75" x14ac:dyDescent="0.25">
      <c r="A1457" s="2" t="str">
        <f>"00085460"</f>
        <v>00085460</v>
      </c>
      <c r="B1457" s="2" t="str">
        <f t="shared" si="54"/>
        <v xml:space="preserve">  </v>
      </c>
      <c r="C1457" s="1" t="s">
        <v>1163</v>
      </c>
      <c r="D1457" s="1" t="s">
        <v>0</v>
      </c>
      <c r="E1457" s="1" t="s">
        <v>12</v>
      </c>
      <c r="F1457" s="2" t="s">
        <v>0</v>
      </c>
      <c r="G1457" s="3">
        <v>7.73</v>
      </c>
    </row>
    <row r="1458" spans="1:7" ht="57.75" x14ac:dyDescent="0.25">
      <c r="A1458" s="2" t="str">
        <f>"00085461"</f>
        <v>00085461</v>
      </c>
      <c r="B1458" s="2" t="str">
        <f t="shared" si="54"/>
        <v xml:space="preserve">  </v>
      </c>
      <c r="C1458" s="1" t="s">
        <v>1164</v>
      </c>
      <c r="D1458" s="1" t="s">
        <v>0</v>
      </c>
      <c r="E1458" s="1" t="s">
        <v>12</v>
      </c>
      <c r="F1458" s="2" t="s">
        <v>0</v>
      </c>
      <c r="G1458" s="3">
        <v>9.36</v>
      </c>
    </row>
    <row r="1459" spans="1:7" x14ac:dyDescent="0.25">
      <c r="A1459" s="2" t="str">
        <f>"00085475"</f>
        <v>00085475</v>
      </c>
      <c r="B1459" s="2" t="str">
        <f t="shared" si="54"/>
        <v xml:space="preserve">  </v>
      </c>
      <c r="C1459" s="1" t="s">
        <v>1165</v>
      </c>
      <c r="D1459" s="1" t="s">
        <v>0</v>
      </c>
      <c r="E1459" s="1" t="s">
        <v>12</v>
      </c>
      <c r="F1459" s="2" t="s">
        <v>0</v>
      </c>
      <c r="G1459" s="3">
        <v>8.8699999999999992</v>
      </c>
    </row>
    <row r="1460" spans="1:7" x14ac:dyDescent="0.25">
      <c r="A1460" s="2" t="str">
        <f>"00085520"</f>
        <v>00085520</v>
      </c>
      <c r="B1460" s="2" t="str">
        <f t="shared" si="54"/>
        <v xml:space="preserve">  </v>
      </c>
      <c r="C1460" s="1" t="s">
        <v>1166</v>
      </c>
      <c r="D1460" s="1" t="s">
        <v>0</v>
      </c>
      <c r="E1460" s="1" t="s">
        <v>12</v>
      </c>
      <c r="F1460" s="2" t="s">
        <v>0</v>
      </c>
      <c r="G1460" s="3">
        <v>13.09</v>
      </c>
    </row>
    <row r="1461" spans="1:7" x14ac:dyDescent="0.25">
      <c r="A1461" s="2" t="str">
        <f>"00085525"</f>
        <v>00085525</v>
      </c>
      <c r="B1461" s="2" t="str">
        <f t="shared" si="54"/>
        <v xml:space="preserve">  </v>
      </c>
      <c r="C1461" s="1" t="s">
        <v>1167</v>
      </c>
      <c r="D1461" s="1" t="s">
        <v>0</v>
      </c>
      <c r="E1461" s="1" t="s">
        <v>12</v>
      </c>
      <c r="F1461" s="2" t="s">
        <v>0</v>
      </c>
      <c r="G1461" s="3">
        <v>11.84</v>
      </c>
    </row>
    <row r="1462" spans="1:7" ht="29.25" x14ac:dyDescent="0.25">
      <c r="A1462" s="2" t="str">
        <f>"00085530"</f>
        <v>00085530</v>
      </c>
      <c r="B1462" s="2" t="str">
        <f t="shared" si="54"/>
        <v xml:space="preserve">  </v>
      </c>
      <c r="C1462" s="1" t="s">
        <v>1168</v>
      </c>
      <c r="D1462" s="1" t="s">
        <v>0</v>
      </c>
      <c r="E1462" s="1" t="s">
        <v>12</v>
      </c>
      <c r="F1462" s="2" t="s">
        <v>0</v>
      </c>
      <c r="G1462" s="3">
        <v>13.09</v>
      </c>
    </row>
    <row r="1463" spans="1:7" ht="29.25" x14ac:dyDescent="0.25">
      <c r="A1463" s="2" t="str">
        <f>"00085536"</f>
        <v>00085536</v>
      </c>
      <c r="B1463" s="2" t="str">
        <f t="shared" ref="B1463:B1469" si="55">"  "</f>
        <v xml:space="preserve">  </v>
      </c>
      <c r="C1463" s="1" t="s">
        <v>1169</v>
      </c>
      <c r="D1463" s="1" t="s">
        <v>0</v>
      </c>
      <c r="E1463" s="1" t="s">
        <v>12</v>
      </c>
      <c r="F1463" s="2" t="s">
        <v>0</v>
      </c>
      <c r="G1463" s="3">
        <v>6.88</v>
      </c>
    </row>
    <row r="1464" spans="1:7" ht="57.75" x14ac:dyDescent="0.25">
      <c r="A1464" s="2" t="str">
        <f>"00085540"</f>
        <v>00085540</v>
      </c>
      <c r="B1464" s="2" t="str">
        <f t="shared" si="55"/>
        <v xml:space="preserve">  </v>
      </c>
      <c r="C1464" s="1" t="s">
        <v>1170</v>
      </c>
      <c r="D1464" s="1" t="s">
        <v>0</v>
      </c>
      <c r="E1464" s="1" t="s">
        <v>12</v>
      </c>
      <c r="F1464" s="2" t="s">
        <v>0</v>
      </c>
      <c r="G1464" s="3">
        <v>8.6</v>
      </c>
    </row>
    <row r="1465" spans="1:7" ht="29.25" x14ac:dyDescent="0.25">
      <c r="A1465" s="2" t="str">
        <f>"00085547"</f>
        <v>00085547</v>
      </c>
      <c r="B1465" s="2" t="str">
        <f t="shared" si="55"/>
        <v xml:space="preserve">  </v>
      </c>
      <c r="C1465" s="1" t="s">
        <v>1171</v>
      </c>
      <c r="D1465" s="1" t="s">
        <v>0</v>
      </c>
      <c r="E1465" s="1" t="s">
        <v>12</v>
      </c>
      <c r="F1465" s="2" t="s">
        <v>0</v>
      </c>
      <c r="G1465" s="3">
        <v>8.6</v>
      </c>
    </row>
    <row r="1466" spans="1:7" x14ac:dyDescent="0.25">
      <c r="A1466" s="2" t="str">
        <f>"00085549"</f>
        <v>00085549</v>
      </c>
      <c r="B1466" s="2" t="str">
        <f t="shared" si="55"/>
        <v xml:space="preserve">  </v>
      </c>
      <c r="C1466" s="1" t="s">
        <v>1172</v>
      </c>
      <c r="D1466" s="1" t="s">
        <v>0</v>
      </c>
      <c r="E1466" s="1" t="s">
        <v>12</v>
      </c>
      <c r="F1466" s="2" t="s">
        <v>0</v>
      </c>
      <c r="G1466" s="3">
        <v>18.75</v>
      </c>
    </row>
    <row r="1467" spans="1:7" ht="43.5" x14ac:dyDescent="0.25">
      <c r="A1467" s="2" t="str">
        <f>"00085555"</f>
        <v>00085555</v>
      </c>
      <c r="B1467" s="2" t="str">
        <f t="shared" si="55"/>
        <v xml:space="preserve">  </v>
      </c>
      <c r="C1467" s="1" t="s">
        <v>1173</v>
      </c>
      <c r="D1467" s="1" t="s">
        <v>0</v>
      </c>
      <c r="E1467" s="1" t="s">
        <v>12</v>
      </c>
      <c r="F1467" s="2" t="s">
        <v>0</v>
      </c>
      <c r="G1467" s="3">
        <v>7.47</v>
      </c>
    </row>
    <row r="1468" spans="1:7" ht="29.25" x14ac:dyDescent="0.25">
      <c r="A1468" s="2" t="str">
        <f>"00085557"</f>
        <v>00085557</v>
      </c>
      <c r="B1468" s="2" t="str">
        <f t="shared" si="55"/>
        <v xml:space="preserve">  </v>
      </c>
      <c r="C1468" s="1" t="s">
        <v>1174</v>
      </c>
      <c r="D1468" s="1" t="s">
        <v>0</v>
      </c>
      <c r="E1468" s="1" t="s">
        <v>12</v>
      </c>
      <c r="F1468" s="2" t="s">
        <v>0</v>
      </c>
      <c r="G1468" s="3">
        <v>13.36</v>
      </c>
    </row>
    <row r="1469" spans="1:7" ht="29.25" x14ac:dyDescent="0.25">
      <c r="A1469" s="2" t="str">
        <f>"00085576"</f>
        <v>00085576</v>
      </c>
      <c r="B1469" s="2" t="str">
        <f t="shared" si="55"/>
        <v xml:space="preserve">  </v>
      </c>
      <c r="C1469" s="1" t="s">
        <v>1175</v>
      </c>
      <c r="D1469" s="1" t="s">
        <v>0</v>
      </c>
      <c r="E1469" s="1" t="s">
        <v>12</v>
      </c>
      <c r="F1469" s="2" t="s">
        <v>0</v>
      </c>
      <c r="G1469" s="3">
        <v>24.91</v>
      </c>
    </row>
    <row r="1470" spans="1:7" ht="43.5" x14ac:dyDescent="0.25">
      <c r="A1470" s="2" t="str">
        <f>"00085576"</f>
        <v>00085576</v>
      </c>
      <c r="B1470" s="2" t="str">
        <f>"QW"</f>
        <v>QW</v>
      </c>
      <c r="C1470" s="1" t="s">
        <v>1176</v>
      </c>
      <c r="D1470" s="1" t="s">
        <v>0</v>
      </c>
      <c r="E1470" s="1" t="s">
        <v>12</v>
      </c>
      <c r="F1470" s="2" t="s">
        <v>0</v>
      </c>
      <c r="G1470" s="3">
        <v>24.91</v>
      </c>
    </row>
    <row r="1471" spans="1:7" x14ac:dyDescent="0.25">
      <c r="A1471" s="2" t="str">
        <f>"00085597"</f>
        <v>00085597</v>
      </c>
      <c r="B1471" s="2" t="str">
        <f>"  "</f>
        <v xml:space="preserve">  </v>
      </c>
      <c r="C1471" s="1" t="s">
        <v>1177</v>
      </c>
      <c r="D1471" s="1" t="s">
        <v>0</v>
      </c>
      <c r="E1471" s="1" t="s">
        <v>12</v>
      </c>
      <c r="F1471" s="2" t="s">
        <v>0</v>
      </c>
      <c r="G1471" s="3">
        <v>17.98</v>
      </c>
    </row>
    <row r="1472" spans="1:7" ht="43.5" x14ac:dyDescent="0.25">
      <c r="A1472" s="2" t="str">
        <f>"00085598"</f>
        <v>00085598</v>
      </c>
      <c r="B1472" s="2" t="str">
        <f>"  "</f>
        <v xml:space="preserve">  </v>
      </c>
      <c r="C1472" s="1" t="s">
        <v>1178</v>
      </c>
      <c r="D1472" s="1" t="s">
        <v>0</v>
      </c>
      <c r="E1472" s="1" t="s">
        <v>12</v>
      </c>
      <c r="F1472" s="2" t="s">
        <v>0</v>
      </c>
      <c r="G1472" s="3">
        <v>17.98</v>
      </c>
    </row>
    <row r="1473" spans="1:7" x14ac:dyDescent="0.25">
      <c r="A1473" s="2" t="str">
        <f>"00085610"</f>
        <v>00085610</v>
      </c>
      <c r="B1473" s="2" t="str">
        <f>"  "</f>
        <v xml:space="preserve">  </v>
      </c>
      <c r="C1473" s="1" t="s">
        <v>1179</v>
      </c>
      <c r="D1473" s="1" t="s">
        <v>0</v>
      </c>
      <c r="E1473" s="1" t="s">
        <v>12</v>
      </c>
      <c r="F1473" s="2" t="s">
        <v>0</v>
      </c>
      <c r="G1473" s="3">
        <v>4.29</v>
      </c>
    </row>
    <row r="1474" spans="1:7" ht="43.5" x14ac:dyDescent="0.25">
      <c r="A1474" s="2" t="str">
        <f>"00085610"</f>
        <v>00085610</v>
      </c>
      <c r="B1474" s="2" t="str">
        <f>"QW"</f>
        <v>QW</v>
      </c>
      <c r="C1474" s="1" t="s">
        <v>1180</v>
      </c>
      <c r="D1474" s="1" t="s">
        <v>0</v>
      </c>
      <c r="E1474" s="1" t="s">
        <v>12</v>
      </c>
      <c r="F1474" s="2" t="s">
        <v>0</v>
      </c>
      <c r="G1474" s="3">
        <v>4.29</v>
      </c>
    </row>
    <row r="1475" spans="1:7" ht="43.5" x14ac:dyDescent="0.25">
      <c r="A1475" s="2" t="str">
        <f>"00085611"</f>
        <v>00085611</v>
      </c>
      <c r="B1475" s="2" t="str">
        <f t="shared" ref="B1475:B1491" si="56">"  "</f>
        <v xml:space="preserve">  </v>
      </c>
      <c r="C1475" s="1" t="s">
        <v>1181</v>
      </c>
      <c r="D1475" s="1" t="s">
        <v>0</v>
      </c>
      <c r="E1475" s="1" t="s">
        <v>12</v>
      </c>
      <c r="F1475" s="2" t="s">
        <v>0</v>
      </c>
      <c r="G1475" s="3">
        <v>3.94</v>
      </c>
    </row>
    <row r="1476" spans="1:7" ht="43.5" x14ac:dyDescent="0.25">
      <c r="A1476" s="2" t="str">
        <f>"00085612"</f>
        <v>00085612</v>
      </c>
      <c r="B1476" s="2" t="str">
        <f t="shared" si="56"/>
        <v xml:space="preserve">  </v>
      </c>
      <c r="C1476" s="1" t="s">
        <v>1182</v>
      </c>
      <c r="D1476" s="1" t="s">
        <v>0</v>
      </c>
      <c r="E1476" s="1" t="s">
        <v>12</v>
      </c>
      <c r="F1476" s="2" t="s">
        <v>0</v>
      </c>
      <c r="G1476" s="3">
        <v>17.489999999999998</v>
      </c>
    </row>
    <row r="1477" spans="1:7" ht="29.25" x14ac:dyDescent="0.25">
      <c r="A1477" s="2" t="str">
        <f>"00085613"</f>
        <v>00085613</v>
      </c>
      <c r="B1477" s="2" t="str">
        <f t="shared" si="56"/>
        <v xml:space="preserve">  </v>
      </c>
      <c r="C1477" s="1" t="s">
        <v>1183</v>
      </c>
      <c r="D1477" s="1" t="s">
        <v>0</v>
      </c>
      <c r="E1477" s="1" t="s">
        <v>12</v>
      </c>
      <c r="F1477" s="2" t="s">
        <v>0</v>
      </c>
      <c r="G1477" s="3">
        <v>9.58</v>
      </c>
    </row>
    <row r="1478" spans="1:7" x14ac:dyDescent="0.25">
      <c r="A1478" s="2" t="str">
        <f>"00085635"</f>
        <v>00085635</v>
      </c>
      <c r="B1478" s="2" t="str">
        <f t="shared" si="56"/>
        <v xml:space="preserve">  </v>
      </c>
      <c r="C1478" s="1" t="s">
        <v>1184</v>
      </c>
      <c r="D1478" s="1" t="s">
        <v>0</v>
      </c>
      <c r="E1478" s="1" t="s">
        <v>12</v>
      </c>
      <c r="F1478" s="2" t="s">
        <v>0</v>
      </c>
      <c r="G1478" s="3">
        <v>9.85</v>
      </c>
    </row>
    <row r="1479" spans="1:7" ht="100.5" x14ac:dyDescent="0.25">
      <c r="A1479" s="2" t="str">
        <f>"00085651"</f>
        <v>00085651</v>
      </c>
      <c r="B1479" s="2" t="str">
        <f t="shared" si="56"/>
        <v xml:space="preserve">  </v>
      </c>
      <c r="C1479" s="1" t="s">
        <v>1185</v>
      </c>
      <c r="D1479" s="1" t="s">
        <v>0</v>
      </c>
      <c r="E1479" s="1" t="s">
        <v>12</v>
      </c>
      <c r="F1479" s="2" t="s">
        <v>0</v>
      </c>
      <c r="G1479" s="3">
        <v>4.2699999999999996</v>
      </c>
    </row>
    <row r="1480" spans="1:7" ht="43.5" x14ac:dyDescent="0.25">
      <c r="A1480" s="2" t="str">
        <f>"00085652"</f>
        <v>00085652</v>
      </c>
      <c r="B1480" s="2" t="str">
        <f t="shared" si="56"/>
        <v xml:space="preserve">  </v>
      </c>
      <c r="C1480" s="1" t="s">
        <v>1186</v>
      </c>
      <c r="D1480" s="1" t="s">
        <v>0</v>
      </c>
      <c r="E1480" s="1" t="s">
        <v>12</v>
      </c>
      <c r="F1480" s="2" t="s">
        <v>0</v>
      </c>
      <c r="G1480" s="3">
        <v>2.7</v>
      </c>
    </row>
    <row r="1481" spans="1:7" ht="29.25" x14ac:dyDescent="0.25">
      <c r="A1481" s="2" t="str">
        <f>"00085660"</f>
        <v>00085660</v>
      </c>
      <c r="B1481" s="2" t="str">
        <f t="shared" si="56"/>
        <v xml:space="preserve">  </v>
      </c>
      <c r="C1481" s="1" t="s">
        <v>1187</v>
      </c>
      <c r="D1481" s="1" t="s">
        <v>0</v>
      </c>
      <c r="E1481" s="1" t="s">
        <v>12</v>
      </c>
      <c r="F1481" s="2" t="s">
        <v>0</v>
      </c>
      <c r="G1481" s="3">
        <v>5.51</v>
      </c>
    </row>
    <row r="1482" spans="1:7" x14ac:dyDescent="0.25">
      <c r="A1482" s="2" t="str">
        <f>"00085670"</f>
        <v>00085670</v>
      </c>
      <c r="B1482" s="2" t="str">
        <f t="shared" si="56"/>
        <v xml:space="preserve">  </v>
      </c>
      <c r="C1482" s="1" t="s">
        <v>1188</v>
      </c>
      <c r="D1482" s="1" t="s">
        <v>0</v>
      </c>
      <c r="E1482" s="1" t="s">
        <v>12</v>
      </c>
      <c r="F1482" s="2" t="s">
        <v>0</v>
      </c>
      <c r="G1482" s="3">
        <v>5.77</v>
      </c>
    </row>
    <row r="1483" spans="1:7" x14ac:dyDescent="0.25">
      <c r="A1483" s="2" t="str">
        <f>"00085675"</f>
        <v>00085675</v>
      </c>
      <c r="B1483" s="2" t="str">
        <f t="shared" si="56"/>
        <v xml:space="preserve">  </v>
      </c>
      <c r="C1483" s="1" t="s">
        <v>1189</v>
      </c>
      <c r="D1483" s="1" t="s">
        <v>0</v>
      </c>
      <c r="E1483" s="1" t="s">
        <v>12</v>
      </c>
      <c r="F1483" s="2" t="s">
        <v>0</v>
      </c>
      <c r="G1483" s="3">
        <v>6.85</v>
      </c>
    </row>
    <row r="1484" spans="1:7" ht="29.25" x14ac:dyDescent="0.25">
      <c r="A1484" s="2" t="str">
        <f>"00085705"</f>
        <v>00085705</v>
      </c>
      <c r="B1484" s="2" t="str">
        <f t="shared" si="56"/>
        <v xml:space="preserve">  </v>
      </c>
      <c r="C1484" s="1" t="s">
        <v>1190</v>
      </c>
      <c r="D1484" s="1" t="s">
        <v>0</v>
      </c>
      <c r="E1484" s="1" t="s">
        <v>12</v>
      </c>
      <c r="F1484" s="2" t="s">
        <v>0</v>
      </c>
      <c r="G1484" s="3">
        <v>9.6300000000000008</v>
      </c>
    </row>
    <row r="1485" spans="1:7" ht="29.25" x14ac:dyDescent="0.25">
      <c r="A1485" s="2" t="str">
        <f>"00085730"</f>
        <v>00085730</v>
      </c>
      <c r="B1485" s="2" t="str">
        <f t="shared" si="56"/>
        <v xml:space="preserve">  </v>
      </c>
      <c r="C1485" s="1" t="s">
        <v>1191</v>
      </c>
      <c r="D1485" s="1" t="s">
        <v>0</v>
      </c>
      <c r="E1485" s="1" t="s">
        <v>12</v>
      </c>
      <c r="F1485" s="2" t="s">
        <v>0</v>
      </c>
      <c r="G1485" s="3">
        <v>6.01</v>
      </c>
    </row>
    <row r="1486" spans="1:7" ht="43.5" x14ac:dyDescent="0.25">
      <c r="A1486" s="2" t="str">
        <f>"00085732"</f>
        <v>00085732</v>
      </c>
      <c r="B1486" s="2" t="str">
        <f t="shared" si="56"/>
        <v xml:space="preserve">  </v>
      </c>
      <c r="C1486" s="1" t="s">
        <v>1192</v>
      </c>
      <c r="D1486" s="1" t="s">
        <v>0</v>
      </c>
      <c r="E1486" s="1" t="s">
        <v>12</v>
      </c>
      <c r="F1486" s="2" t="s">
        <v>0</v>
      </c>
      <c r="G1486" s="3">
        <v>6.47</v>
      </c>
    </row>
    <row r="1487" spans="1:7" x14ac:dyDescent="0.25">
      <c r="A1487" s="2" t="str">
        <f>"00085810"</f>
        <v>00085810</v>
      </c>
      <c r="B1487" s="2" t="str">
        <f t="shared" si="56"/>
        <v xml:space="preserve">  </v>
      </c>
      <c r="C1487" s="1" t="s">
        <v>1193</v>
      </c>
      <c r="D1487" s="1" t="s">
        <v>0</v>
      </c>
      <c r="E1487" s="1" t="s">
        <v>12</v>
      </c>
      <c r="F1487" s="2" t="s">
        <v>0</v>
      </c>
      <c r="G1487" s="3">
        <v>11.67</v>
      </c>
    </row>
    <row r="1488" spans="1:7" ht="86.25" x14ac:dyDescent="0.25">
      <c r="A1488" s="2" t="str">
        <f>"00086000"</f>
        <v>00086000</v>
      </c>
      <c r="B1488" s="2" t="str">
        <f t="shared" si="56"/>
        <v xml:space="preserve">  </v>
      </c>
      <c r="C1488" s="1" t="s">
        <v>1194</v>
      </c>
      <c r="D1488" s="1" t="s">
        <v>0</v>
      </c>
      <c r="E1488" s="1" t="s">
        <v>12</v>
      </c>
      <c r="F1488" s="2" t="s">
        <v>0</v>
      </c>
      <c r="G1488" s="3">
        <v>6.98</v>
      </c>
    </row>
    <row r="1489" spans="1:7" ht="57.75" x14ac:dyDescent="0.25">
      <c r="A1489" s="2" t="str">
        <f>"00086001"</f>
        <v>00086001</v>
      </c>
      <c r="B1489" s="2" t="str">
        <f t="shared" si="56"/>
        <v xml:space="preserve">  </v>
      </c>
      <c r="C1489" s="1" t="s">
        <v>1195</v>
      </c>
      <c r="D1489" s="1" t="s">
        <v>0</v>
      </c>
      <c r="E1489" s="1" t="s">
        <v>12</v>
      </c>
      <c r="F1489" s="2" t="s">
        <v>0</v>
      </c>
      <c r="G1489" s="3">
        <v>7.82</v>
      </c>
    </row>
    <row r="1490" spans="1:7" ht="57.75" x14ac:dyDescent="0.25">
      <c r="A1490" s="2" t="str">
        <f>"00086003"</f>
        <v>00086003</v>
      </c>
      <c r="B1490" s="2" t="str">
        <f t="shared" si="56"/>
        <v xml:space="preserve">  </v>
      </c>
      <c r="C1490" s="1" t="s">
        <v>1196</v>
      </c>
      <c r="D1490" s="1" t="s">
        <v>0</v>
      </c>
      <c r="E1490" s="1" t="s">
        <v>12</v>
      </c>
      <c r="F1490" s="2" t="s">
        <v>0</v>
      </c>
      <c r="G1490" s="3">
        <v>5.22</v>
      </c>
    </row>
    <row r="1491" spans="1:7" ht="72" x14ac:dyDescent="0.25">
      <c r="A1491" s="2" t="str">
        <f>"00086005"</f>
        <v>00086005</v>
      </c>
      <c r="B1491" s="2" t="str">
        <f t="shared" si="56"/>
        <v xml:space="preserve">  </v>
      </c>
      <c r="C1491" s="1" t="s">
        <v>1197</v>
      </c>
      <c r="D1491" s="1" t="s">
        <v>0</v>
      </c>
      <c r="E1491" s="1" t="s">
        <v>12</v>
      </c>
      <c r="F1491" s="2" t="s">
        <v>0</v>
      </c>
      <c r="G1491" s="3">
        <v>7.97</v>
      </c>
    </row>
    <row r="1492" spans="1:7" ht="43.5" x14ac:dyDescent="0.25">
      <c r="A1492" s="2" t="str">
        <f>"00086008"</f>
        <v>00086008</v>
      </c>
      <c r="B1492" s="2" t="str">
        <f>"90"</f>
        <v>90</v>
      </c>
      <c r="C1492" s="1" t="s">
        <v>1198</v>
      </c>
      <c r="D1492" s="1" t="s">
        <v>0</v>
      </c>
      <c r="E1492" s="1" t="s">
        <v>14</v>
      </c>
      <c r="F1492" s="2" t="s">
        <v>0</v>
      </c>
      <c r="G1492" s="17" t="s">
        <v>1769</v>
      </c>
    </row>
    <row r="1493" spans="1:7" ht="29.25" x14ac:dyDescent="0.25">
      <c r="A1493" s="2" t="str">
        <f>"00086015"</f>
        <v>00086015</v>
      </c>
      <c r="B1493" s="2" t="str">
        <f>"  "</f>
        <v xml:space="preserve">  </v>
      </c>
      <c r="C1493" s="1" t="s">
        <v>1199</v>
      </c>
      <c r="D1493" s="1" t="s">
        <v>0</v>
      </c>
      <c r="E1493" s="1" t="s">
        <v>14</v>
      </c>
      <c r="F1493" s="2" t="s">
        <v>0</v>
      </c>
      <c r="G1493" s="17" t="s">
        <v>1769</v>
      </c>
    </row>
    <row r="1494" spans="1:7" ht="29.25" x14ac:dyDescent="0.25">
      <c r="A1494" s="2" t="str">
        <f>"00086015"</f>
        <v>00086015</v>
      </c>
      <c r="B1494" s="2" t="str">
        <f>"90"</f>
        <v>90</v>
      </c>
      <c r="C1494" s="1" t="s">
        <v>1199</v>
      </c>
      <c r="D1494" s="1" t="s">
        <v>0</v>
      </c>
      <c r="E1494" s="1" t="s">
        <v>14</v>
      </c>
      <c r="F1494" s="2" t="s">
        <v>0</v>
      </c>
      <c r="G1494" s="17" t="s">
        <v>1769</v>
      </c>
    </row>
    <row r="1495" spans="1:7" ht="29.25" x14ac:dyDescent="0.25">
      <c r="A1495" s="2" t="str">
        <f>"00086021"</f>
        <v>00086021</v>
      </c>
      <c r="B1495" s="2" t="str">
        <f>"  "</f>
        <v xml:space="preserve">  </v>
      </c>
      <c r="C1495" s="1" t="s">
        <v>1200</v>
      </c>
      <c r="D1495" s="1" t="s">
        <v>0</v>
      </c>
      <c r="E1495" s="1" t="s">
        <v>12</v>
      </c>
      <c r="F1495" s="2" t="s">
        <v>0</v>
      </c>
      <c r="G1495" s="3">
        <v>15.05</v>
      </c>
    </row>
    <row r="1496" spans="1:7" x14ac:dyDescent="0.25">
      <c r="A1496" s="2" t="str">
        <f>"00086022"</f>
        <v>00086022</v>
      </c>
      <c r="B1496" s="2" t="str">
        <f>"  "</f>
        <v xml:space="preserve">  </v>
      </c>
      <c r="C1496" s="1" t="s">
        <v>1201</v>
      </c>
      <c r="D1496" s="1" t="s">
        <v>0</v>
      </c>
      <c r="E1496" s="1" t="s">
        <v>12</v>
      </c>
      <c r="F1496" s="2" t="s">
        <v>0</v>
      </c>
      <c r="G1496" s="3">
        <v>18.37</v>
      </c>
    </row>
    <row r="1497" spans="1:7" ht="43.5" x14ac:dyDescent="0.25">
      <c r="A1497" s="2" t="str">
        <f>"00086023"</f>
        <v>00086023</v>
      </c>
      <c r="B1497" s="2" t="str">
        <f>"  "</f>
        <v xml:space="preserve">  </v>
      </c>
      <c r="C1497" s="1" t="s">
        <v>1202</v>
      </c>
      <c r="D1497" s="1" t="s">
        <v>0</v>
      </c>
      <c r="E1497" s="1" t="s">
        <v>12</v>
      </c>
      <c r="F1497" s="2" t="s">
        <v>0</v>
      </c>
      <c r="G1497" s="3">
        <v>12.46</v>
      </c>
    </row>
    <row r="1498" spans="1:7" ht="29.25" x14ac:dyDescent="0.25">
      <c r="A1498" s="2" t="str">
        <f>"00086036"</f>
        <v>00086036</v>
      </c>
      <c r="B1498" s="2" t="str">
        <f>"  "</f>
        <v xml:space="preserve">  </v>
      </c>
      <c r="C1498" s="1" t="s">
        <v>1203</v>
      </c>
      <c r="D1498" s="1" t="s">
        <v>0</v>
      </c>
      <c r="E1498" s="1" t="s">
        <v>14</v>
      </c>
      <c r="F1498" s="2" t="s">
        <v>0</v>
      </c>
      <c r="G1498" s="17" t="s">
        <v>1769</v>
      </c>
    </row>
    <row r="1499" spans="1:7" ht="29.25" x14ac:dyDescent="0.25">
      <c r="A1499" s="2" t="str">
        <f>"00086036"</f>
        <v>00086036</v>
      </c>
      <c r="B1499" s="2" t="str">
        <f>"90"</f>
        <v>90</v>
      </c>
      <c r="C1499" s="1" t="s">
        <v>1203</v>
      </c>
      <c r="D1499" s="1" t="s">
        <v>0</v>
      </c>
      <c r="E1499" s="1" t="s">
        <v>14</v>
      </c>
      <c r="F1499" s="2" t="s">
        <v>0</v>
      </c>
      <c r="G1499" s="17" t="s">
        <v>1769</v>
      </c>
    </row>
    <row r="1500" spans="1:7" ht="29.25" x14ac:dyDescent="0.25">
      <c r="A1500" s="2" t="str">
        <f>"00086037"</f>
        <v>00086037</v>
      </c>
      <c r="B1500" s="2" t="str">
        <f>"  "</f>
        <v xml:space="preserve">  </v>
      </c>
      <c r="C1500" s="1" t="s">
        <v>1204</v>
      </c>
      <c r="D1500" s="1" t="s">
        <v>0</v>
      </c>
      <c r="E1500" s="1" t="s">
        <v>14</v>
      </c>
      <c r="F1500" s="2" t="s">
        <v>0</v>
      </c>
      <c r="G1500" s="17" t="s">
        <v>1769</v>
      </c>
    </row>
    <row r="1501" spans="1:7" ht="29.25" x14ac:dyDescent="0.25">
      <c r="A1501" s="2" t="str">
        <f>"00086037"</f>
        <v>00086037</v>
      </c>
      <c r="B1501" s="2" t="str">
        <f>"90"</f>
        <v>90</v>
      </c>
      <c r="C1501" s="1" t="s">
        <v>1204</v>
      </c>
      <c r="D1501" s="1" t="s">
        <v>0</v>
      </c>
      <c r="E1501" s="1" t="s">
        <v>14</v>
      </c>
      <c r="F1501" s="2" t="s">
        <v>0</v>
      </c>
      <c r="G1501" s="17" t="s">
        <v>1769</v>
      </c>
    </row>
    <row r="1502" spans="1:7" ht="29.25" x14ac:dyDescent="0.25">
      <c r="A1502" s="2" t="str">
        <f>"00086038"</f>
        <v>00086038</v>
      </c>
      <c r="B1502" s="2" t="str">
        <f>"  "</f>
        <v xml:space="preserve">  </v>
      </c>
      <c r="C1502" s="1" t="s">
        <v>1205</v>
      </c>
      <c r="D1502" s="1" t="s">
        <v>0</v>
      </c>
      <c r="E1502" s="1" t="s">
        <v>12</v>
      </c>
      <c r="F1502" s="2" t="s">
        <v>0</v>
      </c>
      <c r="G1502" s="3">
        <v>12.09</v>
      </c>
    </row>
    <row r="1503" spans="1:7" ht="29.25" x14ac:dyDescent="0.25">
      <c r="A1503" s="2" t="str">
        <f>"00086039"</f>
        <v>00086039</v>
      </c>
      <c r="B1503" s="2" t="str">
        <f>"  "</f>
        <v xml:space="preserve">  </v>
      </c>
      <c r="C1503" s="1" t="s">
        <v>1206</v>
      </c>
      <c r="D1503" s="1" t="s">
        <v>0</v>
      </c>
      <c r="E1503" s="1" t="s">
        <v>12</v>
      </c>
      <c r="F1503" s="2" t="s">
        <v>0</v>
      </c>
      <c r="G1503" s="3">
        <v>11.16</v>
      </c>
    </row>
    <row r="1504" spans="1:7" ht="29.25" x14ac:dyDescent="0.25">
      <c r="A1504" s="2" t="str">
        <f>"00086041"</f>
        <v>00086041</v>
      </c>
      <c r="B1504" s="2" t="str">
        <f>"  "</f>
        <v xml:space="preserve">  </v>
      </c>
      <c r="C1504" s="1" t="s">
        <v>1207</v>
      </c>
      <c r="D1504" s="1" t="s">
        <v>0</v>
      </c>
      <c r="E1504" s="1" t="s">
        <v>14</v>
      </c>
      <c r="F1504" s="2" t="s">
        <v>0</v>
      </c>
      <c r="G1504" s="17" t="s">
        <v>1769</v>
      </c>
    </row>
    <row r="1505" spans="1:7" ht="29.25" x14ac:dyDescent="0.25">
      <c r="A1505" s="2" t="str">
        <f>"00086041"</f>
        <v>00086041</v>
      </c>
      <c r="B1505" s="2" t="str">
        <f>"90"</f>
        <v>90</v>
      </c>
      <c r="C1505" s="1" t="s">
        <v>1207</v>
      </c>
      <c r="D1505" s="1" t="s">
        <v>0</v>
      </c>
      <c r="E1505" s="1" t="s">
        <v>14</v>
      </c>
      <c r="F1505" s="2" t="s">
        <v>0</v>
      </c>
      <c r="G1505" s="17" t="s">
        <v>1769</v>
      </c>
    </row>
    <row r="1506" spans="1:7" ht="29.25" x14ac:dyDescent="0.25">
      <c r="A1506" s="2" t="str">
        <f>"00086042"</f>
        <v>00086042</v>
      </c>
      <c r="B1506" s="2" t="str">
        <f>"  "</f>
        <v xml:space="preserve">  </v>
      </c>
      <c r="C1506" s="1" t="s">
        <v>1208</v>
      </c>
      <c r="D1506" s="1" t="s">
        <v>0</v>
      </c>
      <c r="E1506" s="1" t="s">
        <v>14</v>
      </c>
      <c r="F1506" s="2" t="s">
        <v>0</v>
      </c>
      <c r="G1506" s="17" t="s">
        <v>1769</v>
      </c>
    </row>
    <row r="1507" spans="1:7" ht="29.25" x14ac:dyDescent="0.25">
      <c r="A1507" s="2" t="str">
        <f>"00086042"</f>
        <v>00086042</v>
      </c>
      <c r="B1507" s="2" t="str">
        <f>"90"</f>
        <v>90</v>
      </c>
      <c r="C1507" s="1" t="s">
        <v>1208</v>
      </c>
      <c r="D1507" s="1" t="s">
        <v>0</v>
      </c>
      <c r="E1507" s="1" t="s">
        <v>14</v>
      </c>
      <c r="F1507" s="2" t="s">
        <v>0</v>
      </c>
      <c r="G1507" s="17" t="s">
        <v>1769</v>
      </c>
    </row>
    <row r="1508" spans="1:7" ht="29.25" x14ac:dyDescent="0.25">
      <c r="A1508" s="2" t="str">
        <f>"00086043"</f>
        <v>00086043</v>
      </c>
      <c r="B1508" s="2" t="str">
        <f>"  "</f>
        <v xml:space="preserve">  </v>
      </c>
      <c r="C1508" s="1" t="s">
        <v>1209</v>
      </c>
      <c r="D1508" s="1" t="s">
        <v>0</v>
      </c>
      <c r="E1508" s="1" t="s">
        <v>14</v>
      </c>
      <c r="F1508" s="2" t="s">
        <v>0</v>
      </c>
      <c r="G1508" s="17" t="s">
        <v>1769</v>
      </c>
    </row>
    <row r="1509" spans="1:7" ht="29.25" x14ac:dyDescent="0.25">
      <c r="A1509" s="2" t="str">
        <f>"00086043"</f>
        <v>00086043</v>
      </c>
      <c r="B1509" s="2" t="str">
        <f>"90"</f>
        <v>90</v>
      </c>
      <c r="C1509" s="1" t="s">
        <v>1209</v>
      </c>
      <c r="D1509" s="1" t="s">
        <v>0</v>
      </c>
      <c r="E1509" s="1" t="s">
        <v>14</v>
      </c>
      <c r="F1509" s="2" t="s">
        <v>0</v>
      </c>
      <c r="G1509" s="17" t="s">
        <v>1769</v>
      </c>
    </row>
    <row r="1510" spans="1:7" ht="43.5" x14ac:dyDescent="0.25">
      <c r="A1510" s="2" t="str">
        <f>"00086051"</f>
        <v>00086051</v>
      </c>
      <c r="B1510" s="2" t="str">
        <f>"  "</f>
        <v xml:space="preserve">  </v>
      </c>
      <c r="C1510" s="1" t="s">
        <v>1210</v>
      </c>
      <c r="D1510" s="1" t="s">
        <v>0</v>
      </c>
      <c r="E1510" s="1" t="s">
        <v>14</v>
      </c>
      <c r="F1510" s="2" t="s">
        <v>0</v>
      </c>
      <c r="G1510" s="17" t="s">
        <v>1769</v>
      </c>
    </row>
    <row r="1511" spans="1:7" ht="43.5" x14ac:dyDescent="0.25">
      <c r="A1511" s="2" t="str">
        <f>"00086051"</f>
        <v>00086051</v>
      </c>
      <c r="B1511" s="2" t="str">
        <f>"90"</f>
        <v>90</v>
      </c>
      <c r="C1511" s="1" t="s">
        <v>1210</v>
      </c>
      <c r="D1511" s="1" t="s">
        <v>0</v>
      </c>
      <c r="E1511" s="1" t="s">
        <v>14</v>
      </c>
      <c r="F1511" s="2" t="s">
        <v>0</v>
      </c>
      <c r="G1511" s="17" t="s">
        <v>1769</v>
      </c>
    </row>
    <row r="1512" spans="1:7" ht="57.75" x14ac:dyDescent="0.25">
      <c r="A1512" s="2" t="str">
        <f>"00086052"</f>
        <v>00086052</v>
      </c>
      <c r="B1512" s="2" t="str">
        <f>"  "</f>
        <v xml:space="preserve">  </v>
      </c>
      <c r="C1512" s="1" t="s">
        <v>1211</v>
      </c>
      <c r="D1512" s="1" t="s">
        <v>0</v>
      </c>
      <c r="E1512" s="1" t="s">
        <v>14</v>
      </c>
      <c r="F1512" s="2" t="s">
        <v>0</v>
      </c>
      <c r="G1512" s="17" t="s">
        <v>1769</v>
      </c>
    </row>
    <row r="1513" spans="1:7" ht="57.75" x14ac:dyDescent="0.25">
      <c r="A1513" s="2" t="str">
        <f>"00086052"</f>
        <v>00086052</v>
      </c>
      <c r="B1513" s="2" t="str">
        <f>"90"</f>
        <v>90</v>
      </c>
      <c r="C1513" s="1" t="s">
        <v>1211</v>
      </c>
      <c r="D1513" s="1" t="s">
        <v>0</v>
      </c>
      <c r="E1513" s="1" t="s">
        <v>14</v>
      </c>
      <c r="F1513" s="2" t="s">
        <v>0</v>
      </c>
      <c r="G1513" s="17" t="s">
        <v>1769</v>
      </c>
    </row>
    <row r="1514" spans="1:7" ht="43.5" x14ac:dyDescent="0.25">
      <c r="A1514" s="2" t="str">
        <f>"00086053"</f>
        <v>00086053</v>
      </c>
      <c r="B1514" s="2" t="str">
        <f>"  "</f>
        <v xml:space="preserve">  </v>
      </c>
      <c r="C1514" s="1" t="s">
        <v>1212</v>
      </c>
      <c r="D1514" s="1" t="s">
        <v>0</v>
      </c>
      <c r="E1514" s="1" t="s">
        <v>14</v>
      </c>
      <c r="F1514" s="2" t="s">
        <v>0</v>
      </c>
      <c r="G1514" s="17" t="s">
        <v>1769</v>
      </c>
    </row>
    <row r="1515" spans="1:7" ht="43.5" x14ac:dyDescent="0.25">
      <c r="A1515" s="2" t="str">
        <f>"00086053"</f>
        <v>00086053</v>
      </c>
      <c r="B1515" s="2" t="str">
        <f>"90"</f>
        <v>90</v>
      </c>
      <c r="C1515" s="1" t="s">
        <v>1212</v>
      </c>
      <c r="D1515" s="1" t="s">
        <v>0</v>
      </c>
      <c r="E1515" s="1" t="s">
        <v>14</v>
      </c>
      <c r="F1515" s="2" t="s">
        <v>0</v>
      </c>
      <c r="G1515" s="17" t="s">
        <v>1769</v>
      </c>
    </row>
    <row r="1516" spans="1:7" ht="29.25" x14ac:dyDescent="0.25">
      <c r="A1516" s="2" t="str">
        <f>"00086060"</f>
        <v>00086060</v>
      </c>
      <c r="B1516" s="2" t="str">
        <f t="shared" ref="B1516:B1538" si="57">"  "</f>
        <v xml:space="preserve">  </v>
      </c>
      <c r="C1516" s="1" t="s">
        <v>1213</v>
      </c>
      <c r="D1516" s="1" t="s">
        <v>0</v>
      </c>
      <c r="E1516" s="1" t="s">
        <v>12</v>
      </c>
      <c r="F1516" s="2" t="s">
        <v>0</v>
      </c>
      <c r="G1516" s="3">
        <v>7.3</v>
      </c>
    </row>
    <row r="1517" spans="1:7" ht="29.25" x14ac:dyDescent="0.25">
      <c r="A1517" s="2" t="str">
        <f>"00086063"</f>
        <v>00086063</v>
      </c>
      <c r="B1517" s="2" t="str">
        <f t="shared" si="57"/>
        <v xml:space="preserve">  </v>
      </c>
      <c r="C1517" s="1" t="s">
        <v>1214</v>
      </c>
      <c r="D1517" s="1" t="s">
        <v>0</v>
      </c>
      <c r="E1517" s="1" t="s">
        <v>12</v>
      </c>
      <c r="F1517" s="2" t="s">
        <v>0</v>
      </c>
      <c r="G1517" s="3">
        <v>5.77</v>
      </c>
    </row>
    <row r="1518" spans="1:7" ht="29.25" x14ac:dyDescent="0.25">
      <c r="A1518" s="2" t="str">
        <f>"00086140"</f>
        <v>00086140</v>
      </c>
      <c r="B1518" s="2" t="str">
        <f t="shared" si="57"/>
        <v xml:space="preserve">  </v>
      </c>
      <c r="C1518" s="1" t="s">
        <v>1215</v>
      </c>
      <c r="D1518" s="1" t="s">
        <v>0</v>
      </c>
      <c r="E1518" s="1" t="s">
        <v>12</v>
      </c>
      <c r="F1518" s="2" t="s">
        <v>0</v>
      </c>
      <c r="G1518" s="3">
        <v>5.18</v>
      </c>
    </row>
    <row r="1519" spans="1:7" ht="29.25" x14ac:dyDescent="0.25">
      <c r="A1519" s="2" t="str">
        <f>"00086141"</f>
        <v>00086141</v>
      </c>
      <c r="B1519" s="2" t="str">
        <f t="shared" si="57"/>
        <v xml:space="preserve">  </v>
      </c>
      <c r="C1519" s="1" t="s">
        <v>1216</v>
      </c>
      <c r="D1519" s="1" t="s">
        <v>0</v>
      </c>
      <c r="E1519" s="1" t="s">
        <v>12</v>
      </c>
      <c r="F1519" s="2" t="s">
        <v>0</v>
      </c>
      <c r="G1519" s="3">
        <v>12.95</v>
      </c>
    </row>
    <row r="1520" spans="1:7" ht="29.25" x14ac:dyDescent="0.25">
      <c r="A1520" s="2" t="str">
        <f>"00086146"</f>
        <v>00086146</v>
      </c>
      <c r="B1520" s="2" t="str">
        <f t="shared" si="57"/>
        <v xml:space="preserve">  </v>
      </c>
      <c r="C1520" s="1" t="s">
        <v>1217</v>
      </c>
      <c r="D1520" s="1" t="s">
        <v>0</v>
      </c>
      <c r="E1520" s="1" t="s">
        <v>12</v>
      </c>
      <c r="F1520" s="2" t="s">
        <v>0</v>
      </c>
      <c r="G1520" s="3">
        <v>25.45</v>
      </c>
    </row>
    <row r="1521" spans="1:7" ht="43.5" x14ac:dyDescent="0.25">
      <c r="A1521" s="2" t="str">
        <f>"00086147"</f>
        <v>00086147</v>
      </c>
      <c r="B1521" s="2" t="str">
        <f t="shared" si="57"/>
        <v xml:space="preserve">  </v>
      </c>
      <c r="C1521" s="1" t="s">
        <v>1218</v>
      </c>
      <c r="D1521" s="1" t="s">
        <v>0</v>
      </c>
      <c r="E1521" s="1" t="s">
        <v>12</v>
      </c>
      <c r="F1521" s="2" t="s">
        <v>0</v>
      </c>
      <c r="G1521" s="3">
        <v>25.45</v>
      </c>
    </row>
    <row r="1522" spans="1:7" ht="29.25" x14ac:dyDescent="0.25">
      <c r="A1522" s="2" t="str">
        <f>"00086148"</f>
        <v>00086148</v>
      </c>
      <c r="B1522" s="2" t="str">
        <f t="shared" si="57"/>
        <v xml:space="preserve">  </v>
      </c>
      <c r="C1522" s="1" t="s">
        <v>1219</v>
      </c>
      <c r="D1522" s="1" t="s">
        <v>0</v>
      </c>
      <c r="E1522" s="1" t="s">
        <v>12</v>
      </c>
      <c r="F1522" s="2" t="s">
        <v>0</v>
      </c>
      <c r="G1522" s="3">
        <v>16.07</v>
      </c>
    </row>
    <row r="1523" spans="1:7" ht="57.75" x14ac:dyDescent="0.25">
      <c r="A1523" s="2" t="str">
        <f>"00086152"</f>
        <v>00086152</v>
      </c>
      <c r="B1523" s="2" t="str">
        <f t="shared" si="57"/>
        <v xml:space="preserve">  </v>
      </c>
      <c r="C1523" s="1" t="s">
        <v>1220</v>
      </c>
      <c r="D1523" s="1" t="s">
        <v>0</v>
      </c>
      <c r="E1523" s="1" t="s">
        <v>14</v>
      </c>
      <c r="F1523" s="2" t="s">
        <v>0</v>
      </c>
      <c r="G1523" s="17" t="s">
        <v>1769</v>
      </c>
    </row>
    <row r="1524" spans="1:7" ht="29.25" x14ac:dyDescent="0.25">
      <c r="A1524" s="2" t="str">
        <f>"00086155"</f>
        <v>00086155</v>
      </c>
      <c r="B1524" s="2" t="str">
        <f t="shared" si="57"/>
        <v xml:space="preserve">  </v>
      </c>
      <c r="C1524" s="1" t="s">
        <v>1221</v>
      </c>
      <c r="D1524" s="1" t="s">
        <v>0</v>
      </c>
      <c r="E1524" s="1" t="s">
        <v>12</v>
      </c>
      <c r="F1524" s="2" t="s">
        <v>0</v>
      </c>
      <c r="G1524" s="3">
        <v>15.99</v>
      </c>
    </row>
    <row r="1525" spans="1:7" x14ac:dyDescent="0.25">
      <c r="A1525" s="2" t="str">
        <f>"00086156"</f>
        <v>00086156</v>
      </c>
      <c r="B1525" s="2" t="str">
        <f t="shared" si="57"/>
        <v xml:space="preserve">  </v>
      </c>
      <c r="C1525" s="1" t="s">
        <v>1222</v>
      </c>
      <c r="D1525" s="1" t="s">
        <v>0</v>
      </c>
      <c r="E1525" s="1" t="s">
        <v>12</v>
      </c>
      <c r="F1525" s="2" t="s">
        <v>0</v>
      </c>
      <c r="G1525" s="3">
        <v>8.07</v>
      </c>
    </row>
    <row r="1526" spans="1:7" x14ac:dyDescent="0.25">
      <c r="A1526" s="2" t="str">
        <f>"00086157"</f>
        <v>00086157</v>
      </c>
      <c r="B1526" s="2" t="str">
        <f t="shared" si="57"/>
        <v xml:space="preserve">  </v>
      </c>
      <c r="C1526" s="1" t="s">
        <v>1223</v>
      </c>
      <c r="D1526" s="1" t="s">
        <v>0</v>
      </c>
      <c r="E1526" s="1" t="s">
        <v>12</v>
      </c>
      <c r="F1526" s="2" t="s">
        <v>0</v>
      </c>
      <c r="G1526" s="3">
        <v>8.06</v>
      </c>
    </row>
    <row r="1527" spans="1:7" ht="29.25" x14ac:dyDescent="0.25">
      <c r="A1527" s="2" t="str">
        <f>"00086160"</f>
        <v>00086160</v>
      </c>
      <c r="B1527" s="2" t="str">
        <f t="shared" si="57"/>
        <v xml:space="preserve">  </v>
      </c>
      <c r="C1527" s="1" t="s">
        <v>1224</v>
      </c>
      <c r="D1527" s="1" t="s">
        <v>0</v>
      </c>
      <c r="E1527" s="1" t="s">
        <v>12</v>
      </c>
      <c r="F1527" s="2" t="s">
        <v>0</v>
      </c>
      <c r="G1527" s="3">
        <v>12</v>
      </c>
    </row>
    <row r="1528" spans="1:7" ht="43.5" x14ac:dyDescent="0.25">
      <c r="A1528" s="2" t="str">
        <f>"00086161"</f>
        <v>00086161</v>
      </c>
      <c r="B1528" s="2" t="str">
        <f t="shared" si="57"/>
        <v xml:space="preserve">  </v>
      </c>
      <c r="C1528" s="1" t="s">
        <v>1225</v>
      </c>
      <c r="D1528" s="1" t="s">
        <v>0</v>
      </c>
      <c r="E1528" s="1" t="s">
        <v>12</v>
      </c>
      <c r="F1528" s="2" t="s">
        <v>0</v>
      </c>
      <c r="G1528" s="3">
        <v>12</v>
      </c>
    </row>
    <row r="1529" spans="1:7" ht="29.25" x14ac:dyDescent="0.25">
      <c r="A1529" s="2" t="str">
        <f>"00086162"</f>
        <v>00086162</v>
      </c>
      <c r="B1529" s="2" t="str">
        <f t="shared" si="57"/>
        <v xml:space="preserve">  </v>
      </c>
      <c r="C1529" s="1" t="s">
        <v>1778</v>
      </c>
      <c r="D1529" s="1" t="s">
        <v>0</v>
      </c>
      <c r="E1529" s="1" t="s">
        <v>12</v>
      </c>
      <c r="F1529" s="2" t="s">
        <v>0</v>
      </c>
      <c r="G1529" s="3">
        <v>20.32</v>
      </c>
    </row>
    <row r="1530" spans="1:7" ht="86.25" x14ac:dyDescent="0.25">
      <c r="A1530" s="2" t="str">
        <f>"00086171"</f>
        <v>00086171</v>
      </c>
      <c r="B1530" s="2" t="str">
        <f t="shared" si="57"/>
        <v xml:space="preserve">  </v>
      </c>
      <c r="C1530" s="1" t="s">
        <v>1226</v>
      </c>
      <c r="D1530" s="1" t="s">
        <v>0</v>
      </c>
      <c r="E1530" s="1" t="s">
        <v>12</v>
      </c>
      <c r="F1530" s="2" t="s">
        <v>0</v>
      </c>
      <c r="G1530" s="3">
        <v>10.01</v>
      </c>
    </row>
    <row r="1531" spans="1:7" ht="29.25" x14ac:dyDescent="0.25">
      <c r="A1531" s="2" t="str">
        <f>"00086200"</f>
        <v>00086200</v>
      </c>
      <c r="B1531" s="2" t="str">
        <f t="shared" si="57"/>
        <v xml:space="preserve">  </v>
      </c>
      <c r="C1531" s="1" t="s">
        <v>1227</v>
      </c>
      <c r="D1531" s="1" t="s">
        <v>0</v>
      </c>
      <c r="E1531" s="1" t="s">
        <v>12</v>
      </c>
      <c r="F1531" s="2" t="s">
        <v>0</v>
      </c>
      <c r="G1531" s="3">
        <v>12.95</v>
      </c>
    </row>
    <row r="1532" spans="1:7" ht="29.25" x14ac:dyDescent="0.25">
      <c r="A1532" s="2" t="str">
        <f>"00086215"</f>
        <v>00086215</v>
      </c>
      <c r="B1532" s="2" t="str">
        <f t="shared" si="57"/>
        <v xml:space="preserve">  </v>
      </c>
      <c r="C1532" s="1" t="s">
        <v>1228</v>
      </c>
      <c r="D1532" s="1" t="s">
        <v>0</v>
      </c>
      <c r="E1532" s="1" t="s">
        <v>12</v>
      </c>
      <c r="F1532" s="2" t="s">
        <v>0</v>
      </c>
      <c r="G1532" s="3">
        <v>13.25</v>
      </c>
    </row>
    <row r="1533" spans="1:7" ht="43.5" x14ac:dyDescent="0.25">
      <c r="A1533" s="2" t="str">
        <f>"00086225"</f>
        <v>00086225</v>
      </c>
      <c r="B1533" s="2" t="str">
        <f t="shared" si="57"/>
        <v xml:space="preserve">  </v>
      </c>
      <c r="C1533" s="1" t="s">
        <v>1229</v>
      </c>
      <c r="D1533" s="1" t="s">
        <v>0</v>
      </c>
      <c r="E1533" s="1" t="s">
        <v>12</v>
      </c>
      <c r="F1533" s="2" t="s">
        <v>0</v>
      </c>
      <c r="G1533" s="3">
        <v>13.74</v>
      </c>
    </row>
    <row r="1534" spans="1:7" x14ac:dyDescent="0.25">
      <c r="A1534" s="2" t="str">
        <f>"00086226"</f>
        <v>00086226</v>
      </c>
      <c r="B1534" s="2" t="str">
        <f t="shared" si="57"/>
        <v xml:space="preserve">  </v>
      </c>
      <c r="C1534" s="1" t="s">
        <v>1230</v>
      </c>
      <c r="D1534" s="1" t="s">
        <v>0</v>
      </c>
      <c r="E1534" s="1" t="s">
        <v>12</v>
      </c>
      <c r="F1534" s="2" t="s">
        <v>0</v>
      </c>
      <c r="G1534" s="3">
        <v>12.11</v>
      </c>
    </row>
    <row r="1535" spans="1:7" ht="72" x14ac:dyDescent="0.25">
      <c r="A1535" s="2" t="str">
        <f>"00086235"</f>
        <v>00086235</v>
      </c>
      <c r="B1535" s="2" t="str">
        <f t="shared" si="57"/>
        <v xml:space="preserve">  </v>
      </c>
      <c r="C1535" s="1" t="s">
        <v>1231</v>
      </c>
      <c r="D1535" s="1" t="s">
        <v>0</v>
      </c>
      <c r="E1535" s="1" t="s">
        <v>12</v>
      </c>
      <c r="F1535" s="2" t="s">
        <v>0</v>
      </c>
      <c r="G1535" s="3">
        <v>17.93</v>
      </c>
    </row>
    <row r="1536" spans="1:7" ht="43.5" x14ac:dyDescent="0.25">
      <c r="A1536" s="2" t="str">
        <f>"00086255"</f>
        <v>00086255</v>
      </c>
      <c r="B1536" s="2" t="str">
        <f t="shared" si="57"/>
        <v xml:space="preserve">  </v>
      </c>
      <c r="C1536" s="1" t="s">
        <v>1232</v>
      </c>
      <c r="D1536" s="1" t="s">
        <v>0</v>
      </c>
      <c r="E1536" s="1" t="s">
        <v>12</v>
      </c>
      <c r="F1536" s="2" t="s">
        <v>0</v>
      </c>
      <c r="G1536" s="3">
        <v>12.05</v>
      </c>
    </row>
    <row r="1537" spans="1:7" ht="29.25" x14ac:dyDescent="0.25">
      <c r="A1537" s="2" t="str">
        <f>"00086256"</f>
        <v>00086256</v>
      </c>
      <c r="B1537" s="2" t="str">
        <f t="shared" si="57"/>
        <v xml:space="preserve">  </v>
      </c>
      <c r="C1537" s="1" t="s">
        <v>1233</v>
      </c>
      <c r="D1537" s="1" t="s">
        <v>0</v>
      </c>
      <c r="E1537" s="1" t="s">
        <v>12</v>
      </c>
      <c r="F1537" s="2" t="s">
        <v>0</v>
      </c>
      <c r="G1537" s="3">
        <v>12.05</v>
      </c>
    </row>
    <row r="1538" spans="1:7" ht="29.25" x14ac:dyDescent="0.25">
      <c r="A1538" s="2" t="str">
        <f>"00086258"</f>
        <v>00086258</v>
      </c>
      <c r="B1538" s="2" t="str">
        <f t="shared" si="57"/>
        <v xml:space="preserve">  </v>
      </c>
      <c r="C1538" s="1" t="s">
        <v>1234</v>
      </c>
      <c r="D1538" s="1" t="s">
        <v>0</v>
      </c>
      <c r="E1538" s="1" t="s">
        <v>14</v>
      </c>
      <c r="F1538" s="2" t="s">
        <v>0</v>
      </c>
      <c r="G1538" s="17" t="s">
        <v>1769</v>
      </c>
    </row>
    <row r="1539" spans="1:7" ht="29.25" x14ac:dyDescent="0.25">
      <c r="A1539" s="2" t="str">
        <f>"00086258"</f>
        <v>00086258</v>
      </c>
      <c r="B1539" s="2" t="str">
        <f>"90"</f>
        <v>90</v>
      </c>
      <c r="C1539" s="1" t="s">
        <v>1234</v>
      </c>
      <c r="D1539" s="1" t="s">
        <v>0</v>
      </c>
      <c r="E1539" s="1" t="s">
        <v>14</v>
      </c>
      <c r="F1539" s="2" t="s">
        <v>0</v>
      </c>
      <c r="G1539" s="17" t="s">
        <v>1769</v>
      </c>
    </row>
    <row r="1540" spans="1:7" ht="43.5" x14ac:dyDescent="0.25">
      <c r="A1540" s="2" t="str">
        <f>"00086277"</f>
        <v>00086277</v>
      </c>
      <c r="B1540" s="2" t="str">
        <f>"  "</f>
        <v xml:space="preserve">  </v>
      </c>
      <c r="C1540" s="1" t="s">
        <v>1235</v>
      </c>
      <c r="D1540" s="1" t="s">
        <v>0</v>
      </c>
      <c r="E1540" s="1" t="s">
        <v>12</v>
      </c>
      <c r="F1540" s="2" t="s">
        <v>0</v>
      </c>
      <c r="G1540" s="3">
        <v>15.74</v>
      </c>
    </row>
    <row r="1541" spans="1:7" ht="29.25" x14ac:dyDescent="0.25">
      <c r="A1541" s="2" t="str">
        <f>"00086280"</f>
        <v>00086280</v>
      </c>
      <c r="B1541" s="2" t="str">
        <f>"  "</f>
        <v xml:space="preserve">  </v>
      </c>
      <c r="C1541" s="1" t="s">
        <v>1236</v>
      </c>
      <c r="D1541" s="1" t="s">
        <v>0</v>
      </c>
      <c r="E1541" s="1" t="s">
        <v>12</v>
      </c>
      <c r="F1541" s="2" t="s">
        <v>0</v>
      </c>
      <c r="G1541" s="3">
        <v>8.19</v>
      </c>
    </row>
    <row r="1542" spans="1:7" ht="57.75" x14ac:dyDescent="0.25">
      <c r="A1542" s="2" t="str">
        <f>"00086294"</f>
        <v>00086294</v>
      </c>
      <c r="B1542" s="2" t="str">
        <f>"  "</f>
        <v xml:space="preserve">  </v>
      </c>
      <c r="C1542" s="1" t="s">
        <v>1237</v>
      </c>
      <c r="D1542" s="1" t="s">
        <v>0</v>
      </c>
      <c r="E1542" s="1" t="s">
        <v>12</v>
      </c>
      <c r="F1542" s="2" t="s">
        <v>0</v>
      </c>
      <c r="G1542" s="3">
        <v>25.57</v>
      </c>
    </row>
    <row r="1543" spans="1:7" ht="57.75" x14ac:dyDescent="0.25">
      <c r="A1543" s="2" t="str">
        <f>"00086294"</f>
        <v>00086294</v>
      </c>
      <c r="B1543" s="2" t="str">
        <f>"QW"</f>
        <v>QW</v>
      </c>
      <c r="C1543" s="1" t="s">
        <v>1238</v>
      </c>
      <c r="D1543" s="1" t="s">
        <v>0</v>
      </c>
      <c r="E1543" s="1" t="s">
        <v>12</v>
      </c>
      <c r="F1543" s="2" t="s">
        <v>0</v>
      </c>
      <c r="G1543" s="3">
        <v>25.57</v>
      </c>
    </row>
    <row r="1544" spans="1:7" ht="43.5" x14ac:dyDescent="0.25">
      <c r="A1544" s="2" t="str">
        <f>"00086300"</f>
        <v>00086300</v>
      </c>
      <c r="B1544" s="2" t="str">
        <f>"  "</f>
        <v xml:space="preserve">  </v>
      </c>
      <c r="C1544" s="1" t="s">
        <v>1239</v>
      </c>
      <c r="D1544" s="1" t="s">
        <v>0</v>
      </c>
      <c r="E1544" s="1" t="s">
        <v>12</v>
      </c>
      <c r="F1544" s="2" t="s">
        <v>0</v>
      </c>
      <c r="G1544" s="3">
        <v>20.81</v>
      </c>
    </row>
    <row r="1545" spans="1:7" ht="43.5" x14ac:dyDescent="0.25">
      <c r="A1545" s="2" t="str">
        <f>"00086301"</f>
        <v>00086301</v>
      </c>
      <c r="B1545" s="2" t="str">
        <f>"  "</f>
        <v xml:space="preserve">  </v>
      </c>
      <c r="C1545" s="1" t="s">
        <v>1240</v>
      </c>
      <c r="D1545" s="1" t="s">
        <v>0</v>
      </c>
      <c r="E1545" s="1" t="s">
        <v>12</v>
      </c>
      <c r="F1545" s="2" t="s">
        <v>0</v>
      </c>
      <c r="G1545" s="3">
        <v>20.81</v>
      </c>
    </row>
    <row r="1546" spans="1:7" ht="43.5" x14ac:dyDescent="0.25">
      <c r="A1546" s="2" t="str">
        <f>"00086304"</f>
        <v>00086304</v>
      </c>
      <c r="B1546" s="2" t="str">
        <f>"  "</f>
        <v xml:space="preserve">  </v>
      </c>
      <c r="C1546" s="1" t="s">
        <v>1241</v>
      </c>
      <c r="D1546" s="1" t="s">
        <v>0</v>
      </c>
      <c r="E1546" s="1" t="s">
        <v>12</v>
      </c>
      <c r="F1546" s="2" t="s">
        <v>0</v>
      </c>
      <c r="G1546" s="3">
        <v>20.81</v>
      </c>
    </row>
    <row r="1547" spans="1:7" ht="29.25" x14ac:dyDescent="0.25">
      <c r="A1547" s="2" t="str">
        <f>"00086305"</f>
        <v>00086305</v>
      </c>
      <c r="B1547" s="2" t="str">
        <f>"  "</f>
        <v xml:space="preserve">  </v>
      </c>
      <c r="C1547" s="1" t="s">
        <v>1242</v>
      </c>
      <c r="D1547" s="1" t="s">
        <v>0</v>
      </c>
      <c r="E1547" s="1" t="s">
        <v>12</v>
      </c>
      <c r="F1547" s="2" t="s">
        <v>0</v>
      </c>
      <c r="G1547" s="3">
        <v>20.81</v>
      </c>
    </row>
    <row r="1548" spans="1:7" ht="29.25" x14ac:dyDescent="0.25">
      <c r="A1548" s="2" t="str">
        <f>"00086308"</f>
        <v>00086308</v>
      </c>
      <c r="B1548" s="2" t="str">
        <f>"  "</f>
        <v xml:space="preserve">  </v>
      </c>
      <c r="C1548" s="1" t="s">
        <v>1243</v>
      </c>
      <c r="D1548" s="1" t="s">
        <v>0</v>
      </c>
      <c r="E1548" s="1" t="s">
        <v>12</v>
      </c>
      <c r="F1548" s="2" t="s">
        <v>0</v>
      </c>
      <c r="G1548" s="3">
        <v>5.18</v>
      </c>
    </row>
    <row r="1549" spans="1:7" ht="57.75" x14ac:dyDescent="0.25">
      <c r="A1549" s="2" t="str">
        <f>"00086308"</f>
        <v>00086308</v>
      </c>
      <c r="B1549" s="2" t="str">
        <f>"QW"</f>
        <v>QW</v>
      </c>
      <c r="C1549" s="1" t="s">
        <v>1244</v>
      </c>
      <c r="D1549" s="1" t="s">
        <v>0</v>
      </c>
      <c r="E1549" s="1" t="s">
        <v>12</v>
      </c>
      <c r="F1549" s="2" t="s">
        <v>0</v>
      </c>
      <c r="G1549" s="3">
        <v>5.18</v>
      </c>
    </row>
    <row r="1550" spans="1:7" ht="29.25" x14ac:dyDescent="0.25">
      <c r="A1550" s="2" t="str">
        <f>"00086309"</f>
        <v>00086309</v>
      </c>
      <c r="B1550" s="2" t="str">
        <f>"  "</f>
        <v xml:space="preserve">  </v>
      </c>
      <c r="C1550" s="1" t="s">
        <v>1245</v>
      </c>
      <c r="D1550" s="1" t="s">
        <v>0</v>
      </c>
      <c r="E1550" s="1" t="s">
        <v>12</v>
      </c>
      <c r="F1550" s="2" t="s">
        <v>0</v>
      </c>
      <c r="G1550" s="3">
        <v>6.47</v>
      </c>
    </row>
    <row r="1551" spans="1:7" ht="57.75" x14ac:dyDescent="0.25">
      <c r="A1551" s="2" t="str">
        <f>"00086310"</f>
        <v>00086310</v>
      </c>
      <c r="B1551" s="2" t="str">
        <f>"  "</f>
        <v xml:space="preserve">  </v>
      </c>
      <c r="C1551" s="1" t="s">
        <v>1246</v>
      </c>
      <c r="D1551" s="1" t="s">
        <v>0</v>
      </c>
      <c r="E1551" s="1" t="s">
        <v>12</v>
      </c>
      <c r="F1551" s="2" t="s">
        <v>0</v>
      </c>
      <c r="G1551" s="3">
        <v>7.37</v>
      </c>
    </row>
    <row r="1552" spans="1:7" ht="57.75" x14ac:dyDescent="0.25">
      <c r="A1552" s="2" t="str">
        <f>"00086316"</f>
        <v>00086316</v>
      </c>
      <c r="B1552" s="2" t="str">
        <f>"  "</f>
        <v xml:space="preserve">  </v>
      </c>
      <c r="C1552" s="1" t="s">
        <v>1779</v>
      </c>
      <c r="D1552" s="1" t="s">
        <v>0</v>
      </c>
      <c r="E1552" s="1" t="s">
        <v>12</v>
      </c>
      <c r="F1552" s="2" t="s">
        <v>0</v>
      </c>
      <c r="G1552" s="3">
        <v>20.81</v>
      </c>
    </row>
    <row r="1553" spans="1:7" ht="72" x14ac:dyDescent="0.25">
      <c r="A1553" s="2" t="str">
        <f>"00086317"</f>
        <v>00086317</v>
      </c>
      <c r="B1553" s="2" t="str">
        <f>"  "</f>
        <v xml:space="preserve">  </v>
      </c>
      <c r="C1553" s="1" t="s">
        <v>1247</v>
      </c>
      <c r="D1553" s="1" t="s">
        <v>0</v>
      </c>
      <c r="E1553" s="1" t="s">
        <v>12</v>
      </c>
      <c r="F1553" s="2" t="s">
        <v>0</v>
      </c>
      <c r="G1553" s="3">
        <v>14.99</v>
      </c>
    </row>
    <row r="1554" spans="1:7" ht="86.25" x14ac:dyDescent="0.25">
      <c r="A1554" s="2" t="str">
        <f>"00086318"</f>
        <v>00086318</v>
      </c>
      <c r="B1554" s="2" t="str">
        <f>"  "</f>
        <v xml:space="preserve">  </v>
      </c>
      <c r="C1554" s="1" t="s">
        <v>1248</v>
      </c>
      <c r="D1554" s="1" t="s">
        <v>0</v>
      </c>
      <c r="E1554" s="1" t="s">
        <v>12</v>
      </c>
      <c r="F1554" s="2" t="s">
        <v>0</v>
      </c>
      <c r="G1554" s="3">
        <v>18.09</v>
      </c>
    </row>
    <row r="1555" spans="1:7" ht="100.5" x14ac:dyDescent="0.25">
      <c r="A1555" s="2" t="str">
        <f>"00086318"</f>
        <v>00086318</v>
      </c>
      <c r="B1555" s="2" t="str">
        <f>"QW"</f>
        <v>QW</v>
      </c>
      <c r="C1555" s="1" t="s">
        <v>1249</v>
      </c>
      <c r="D1555" s="1" t="s">
        <v>0</v>
      </c>
      <c r="E1555" s="1" t="s">
        <v>12</v>
      </c>
      <c r="F1555" s="2" t="s">
        <v>0</v>
      </c>
      <c r="G1555" s="3">
        <v>18.09</v>
      </c>
    </row>
    <row r="1556" spans="1:7" ht="29.25" x14ac:dyDescent="0.25">
      <c r="A1556" s="2" t="str">
        <f>"00086320"</f>
        <v>00086320</v>
      </c>
      <c r="B1556" s="2" t="str">
        <f t="shared" ref="B1556:B1579" si="58">"  "</f>
        <v xml:space="preserve">  </v>
      </c>
      <c r="C1556" s="1" t="s">
        <v>1250</v>
      </c>
      <c r="D1556" s="1" t="s">
        <v>0</v>
      </c>
      <c r="E1556" s="1" t="s">
        <v>12</v>
      </c>
      <c r="F1556" s="2" t="s">
        <v>0</v>
      </c>
      <c r="G1556" s="3">
        <v>29.92</v>
      </c>
    </row>
    <row r="1557" spans="1:7" ht="57.75" x14ac:dyDescent="0.25">
      <c r="A1557" s="2" t="str">
        <f>"00086325"</f>
        <v>00086325</v>
      </c>
      <c r="B1557" s="2" t="str">
        <f t="shared" si="58"/>
        <v xml:space="preserve">  </v>
      </c>
      <c r="C1557" s="1" t="s">
        <v>1251</v>
      </c>
      <c r="D1557" s="1" t="s">
        <v>0</v>
      </c>
      <c r="E1557" s="1" t="s">
        <v>12</v>
      </c>
      <c r="F1557" s="2" t="s">
        <v>0</v>
      </c>
      <c r="G1557" s="3">
        <v>23.13</v>
      </c>
    </row>
    <row r="1558" spans="1:7" ht="43.5" x14ac:dyDescent="0.25">
      <c r="A1558" s="2" t="str">
        <f>"00086327"</f>
        <v>00086327</v>
      </c>
      <c r="B1558" s="2" t="str">
        <f t="shared" si="58"/>
        <v xml:space="preserve">  </v>
      </c>
      <c r="C1558" s="1" t="s">
        <v>1252</v>
      </c>
      <c r="D1558" s="1" t="s">
        <v>0</v>
      </c>
      <c r="E1558" s="1" t="s">
        <v>12</v>
      </c>
      <c r="F1558" s="2" t="s">
        <v>0</v>
      </c>
      <c r="G1558" s="3">
        <v>29.92</v>
      </c>
    </row>
    <row r="1559" spans="1:7" ht="100.5" x14ac:dyDescent="0.25">
      <c r="A1559" s="2" t="str">
        <f>"00086328"</f>
        <v>00086328</v>
      </c>
      <c r="B1559" s="2" t="str">
        <f t="shared" si="58"/>
        <v xml:space="preserve">  </v>
      </c>
      <c r="C1559" s="1" t="s">
        <v>1253</v>
      </c>
      <c r="D1559" s="1" t="s">
        <v>0</v>
      </c>
      <c r="E1559" s="1" t="s">
        <v>12</v>
      </c>
      <c r="F1559" s="2" t="s">
        <v>0</v>
      </c>
      <c r="G1559" s="3">
        <v>45.28</v>
      </c>
    </row>
    <row r="1560" spans="1:7" ht="29.25" x14ac:dyDescent="0.25">
      <c r="A1560" s="2" t="str">
        <f>"00086329"</f>
        <v>00086329</v>
      </c>
      <c r="B1560" s="2" t="str">
        <f t="shared" si="58"/>
        <v xml:space="preserve">  </v>
      </c>
      <c r="C1560" s="1" t="s">
        <v>1254</v>
      </c>
      <c r="D1560" s="1" t="s">
        <v>0</v>
      </c>
      <c r="E1560" s="1" t="s">
        <v>12</v>
      </c>
      <c r="F1560" s="2" t="s">
        <v>0</v>
      </c>
      <c r="G1560" s="3">
        <v>14.05</v>
      </c>
    </row>
    <row r="1561" spans="1:7" ht="57.75" x14ac:dyDescent="0.25">
      <c r="A1561" s="2" t="str">
        <f>"00086331"</f>
        <v>00086331</v>
      </c>
      <c r="B1561" s="2" t="str">
        <f t="shared" si="58"/>
        <v xml:space="preserve">  </v>
      </c>
      <c r="C1561" s="1" t="s">
        <v>1255</v>
      </c>
      <c r="D1561" s="1" t="s">
        <v>0</v>
      </c>
      <c r="E1561" s="1" t="s">
        <v>12</v>
      </c>
      <c r="F1561" s="2" t="s">
        <v>0</v>
      </c>
      <c r="G1561" s="3">
        <v>11.98</v>
      </c>
    </row>
    <row r="1562" spans="1:7" x14ac:dyDescent="0.25">
      <c r="A1562" s="2" t="str">
        <f>"00086332"</f>
        <v>00086332</v>
      </c>
      <c r="B1562" s="2" t="str">
        <f t="shared" si="58"/>
        <v xml:space="preserve">  </v>
      </c>
      <c r="C1562" s="1" t="s">
        <v>1256</v>
      </c>
      <c r="D1562" s="1" t="s">
        <v>0</v>
      </c>
      <c r="E1562" s="1" t="s">
        <v>12</v>
      </c>
      <c r="F1562" s="2" t="s">
        <v>0</v>
      </c>
      <c r="G1562" s="3">
        <v>24.37</v>
      </c>
    </row>
    <row r="1563" spans="1:7" ht="43.5" x14ac:dyDescent="0.25">
      <c r="A1563" s="2" t="str">
        <f>"00086334"</f>
        <v>00086334</v>
      </c>
      <c r="B1563" s="2" t="str">
        <f t="shared" si="58"/>
        <v xml:space="preserve">  </v>
      </c>
      <c r="C1563" s="1" t="s">
        <v>1257</v>
      </c>
      <c r="D1563" s="1" t="s">
        <v>0</v>
      </c>
      <c r="E1563" s="1" t="s">
        <v>12</v>
      </c>
      <c r="F1563" s="2" t="s">
        <v>0</v>
      </c>
      <c r="G1563" s="3">
        <v>22.34</v>
      </c>
    </row>
    <row r="1564" spans="1:7" ht="72" x14ac:dyDescent="0.25">
      <c r="A1564" s="2" t="str">
        <f>"00086335"</f>
        <v>00086335</v>
      </c>
      <c r="B1564" s="2" t="str">
        <f t="shared" si="58"/>
        <v xml:space="preserve">  </v>
      </c>
      <c r="C1564" s="1" t="s">
        <v>1258</v>
      </c>
      <c r="D1564" s="1" t="s">
        <v>0</v>
      </c>
      <c r="E1564" s="1" t="s">
        <v>12</v>
      </c>
      <c r="F1564" s="2" t="s">
        <v>0</v>
      </c>
      <c r="G1564" s="3">
        <v>29.35</v>
      </c>
    </row>
    <row r="1565" spans="1:7" ht="43.5" x14ac:dyDescent="0.25">
      <c r="A1565" s="2" t="str">
        <f>"00086336"</f>
        <v>00086336</v>
      </c>
      <c r="B1565" s="2" t="str">
        <f t="shared" si="58"/>
        <v xml:space="preserve">  </v>
      </c>
      <c r="C1565" s="1" t="s">
        <v>1259</v>
      </c>
      <c r="D1565" s="1" t="s">
        <v>0</v>
      </c>
      <c r="E1565" s="1" t="s">
        <v>1260</v>
      </c>
      <c r="F1565" s="2" t="s">
        <v>0</v>
      </c>
      <c r="G1565" s="3">
        <v>15.59</v>
      </c>
    </row>
    <row r="1566" spans="1:7" x14ac:dyDescent="0.25">
      <c r="A1566" s="2" t="str">
        <f>"00086337"</f>
        <v>00086337</v>
      </c>
      <c r="B1566" s="2" t="str">
        <f t="shared" si="58"/>
        <v xml:space="preserve">  </v>
      </c>
      <c r="C1566" s="1" t="s">
        <v>1261</v>
      </c>
      <c r="D1566" s="1" t="s">
        <v>0</v>
      </c>
      <c r="E1566" s="1" t="s">
        <v>12</v>
      </c>
      <c r="F1566" s="2" t="s">
        <v>0</v>
      </c>
      <c r="G1566" s="3">
        <v>21.41</v>
      </c>
    </row>
    <row r="1567" spans="1:7" ht="29.25" x14ac:dyDescent="0.25">
      <c r="A1567" s="2" t="str">
        <f>"00086340"</f>
        <v>00086340</v>
      </c>
      <c r="B1567" s="2" t="str">
        <f t="shared" si="58"/>
        <v xml:space="preserve">  </v>
      </c>
      <c r="C1567" s="1" t="s">
        <v>1262</v>
      </c>
      <c r="D1567" s="1" t="s">
        <v>0</v>
      </c>
      <c r="E1567" s="1" t="s">
        <v>12</v>
      </c>
      <c r="F1567" s="2" t="s">
        <v>0</v>
      </c>
      <c r="G1567" s="3">
        <v>15.08</v>
      </c>
    </row>
    <row r="1568" spans="1:7" x14ac:dyDescent="0.25">
      <c r="A1568" s="2" t="str">
        <f>"00086341"</f>
        <v>00086341</v>
      </c>
      <c r="B1568" s="2" t="str">
        <f t="shared" si="58"/>
        <v xml:space="preserve">  </v>
      </c>
      <c r="C1568" s="1" t="s">
        <v>1263</v>
      </c>
      <c r="D1568" s="1" t="s">
        <v>0</v>
      </c>
      <c r="E1568" s="1" t="s">
        <v>12</v>
      </c>
      <c r="F1568" s="2" t="s">
        <v>0</v>
      </c>
      <c r="G1568" s="3">
        <v>23.57</v>
      </c>
    </row>
    <row r="1569" spans="1:7" ht="29.25" x14ac:dyDescent="0.25">
      <c r="A1569" s="2" t="str">
        <f>"00086343"</f>
        <v>00086343</v>
      </c>
      <c r="B1569" s="2" t="str">
        <f t="shared" si="58"/>
        <v xml:space="preserve">  </v>
      </c>
      <c r="C1569" s="1" t="s">
        <v>1264</v>
      </c>
      <c r="D1569" s="1" t="s">
        <v>0</v>
      </c>
      <c r="E1569" s="1" t="s">
        <v>12</v>
      </c>
      <c r="F1569" s="2" t="s">
        <v>0</v>
      </c>
      <c r="G1569" s="3">
        <v>12.46</v>
      </c>
    </row>
    <row r="1570" spans="1:7" ht="29.25" x14ac:dyDescent="0.25">
      <c r="A1570" s="2" t="str">
        <f>"00086344"</f>
        <v>00086344</v>
      </c>
      <c r="B1570" s="2" t="str">
        <f t="shared" si="58"/>
        <v xml:space="preserve">  </v>
      </c>
      <c r="C1570" s="1" t="s">
        <v>1265</v>
      </c>
      <c r="D1570" s="1" t="s">
        <v>0</v>
      </c>
      <c r="E1570" s="1" t="s">
        <v>12</v>
      </c>
      <c r="F1570" s="2" t="s">
        <v>0</v>
      </c>
      <c r="G1570" s="3">
        <v>10.39</v>
      </c>
    </row>
    <row r="1571" spans="1:7" ht="72" x14ac:dyDescent="0.25">
      <c r="A1571" s="2" t="str">
        <f>"00086352"</f>
        <v>00086352</v>
      </c>
      <c r="B1571" s="2" t="str">
        <f t="shared" si="58"/>
        <v xml:space="preserve">  </v>
      </c>
      <c r="C1571" s="1" t="s">
        <v>1266</v>
      </c>
      <c r="D1571" s="1" t="s">
        <v>0</v>
      </c>
      <c r="E1571" s="1" t="s">
        <v>12</v>
      </c>
      <c r="F1571" s="2" t="s">
        <v>0</v>
      </c>
      <c r="G1571" s="3">
        <v>135.86000000000001</v>
      </c>
    </row>
    <row r="1572" spans="1:7" ht="72" x14ac:dyDescent="0.25">
      <c r="A1572" s="2" t="str">
        <f>"00086353"</f>
        <v>00086353</v>
      </c>
      <c r="B1572" s="2" t="str">
        <f t="shared" si="58"/>
        <v xml:space="preserve">  </v>
      </c>
      <c r="C1572" s="1" t="s">
        <v>1267</v>
      </c>
      <c r="D1572" s="1" t="s">
        <v>0</v>
      </c>
      <c r="E1572" s="1" t="s">
        <v>12</v>
      </c>
      <c r="F1572" s="2" t="s">
        <v>0</v>
      </c>
      <c r="G1572" s="3">
        <v>49.03</v>
      </c>
    </row>
    <row r="1573" spans="1:7" x14ac:dyDescent="0.25">
      <c r="A1573" s="2" t="str">
        <f>"00086355"</f>
        <v>00086355</v>
      </c>
      <c r="B1573" s="2" t="str">
        <f t="shared" si="58"/>
        <v xml:space="preserve">  </v>
      </c>
      <c r="C1573" s="1" t="s">
        <v>1268</v>
      </c>
      <c r="D1573" s="1" t="s">
        <v>0</v>
      </c>
      <c r="E1573" s="1" t="s">
        <v>12</v>
      </c>
      <c r="F1573" s="2" t="s">
        <v>0</v>
      </c>
      <c r="G1573" s="3">
        <v>37.729999999999997</v>
      </c>
    </row>
    <row r="1574" spans="1:7" ht="72" x14ac:dyDescent="0.25">
      <c r="A1574" s="2" t="str">
        <f>"00086356"</f>
        <v>00086356</v>
      </c>
      <c r="B1574" s="2" t="str">
        <f t="shared" si="58"/>
        <v xml:space="preserve">  </v>
      </c>
      <c r="C1574" s="1" t="s">
        <v>1269</v>
      </c>
      <c r="D1574" s="1" t="s">
        <v>0</v>
      </c>
      <c r="E1574" s="1" t="s">
        <v>12</v>
      </c>
      <c r="F1574" s="2" t="s">
        <v>0</v>
      </c>
      <c r="G1574" s="3">
        <v>26.78</v>
      </c>
    </row>
    <row r="1575" spans="1:7" ht="29.25" x14ac:dyDescent="0.25">
      <c r="A1575" s="2" t="str">
        <f>"00086357"</f>
        <v>00086357</v>
      </c>
      <c r="B1575" s="2" t="str">
        <f t="shared" si="58"/>
        <v xml:space="preserve">  </v>
      </c>
      <c r="C1575" s="1" t="s">
        <v>1270</v>
      </c>
      <c r="D1575" s="1" t="s">
        <v>0</v>
      </c>
      <c r="E1575" s="1" t="s">
        <v>12</v>
      </c>
      <c r="F1575" s="2" t="s">
        <v>0</v>
      </c>
      <c r="G1575" s="3">
        <v>37.729999999999997</v>
      </c>
    </row>
    <row r="1576" spans="1:7" x14ac:dyDescent="0.25">
      <c r="A1576" s="2" t="str">
        <f>"00086359"</f>
        <v>00086359</v>
      </c>
      <c r="B1576" s="2" t="str">
        <f t="shared" si="58"/>
        <v xml:space="preserve">  </v>
      </c>
      <c r="C1576" s="1" t="s">
        <v>1271</v>
      </c>
      <c r="D1576" s="1" t="s">
        <v>0</v>
      </c>
      <c r="E1576" s="1" t="s">
        <v>12</v>
      </c>
      <c r="F1576" s="2" t="s">
        <v>0</v>
      </c>
      <c r="G1576" s="3">
        <v>37.729999999999997</v>
      </c>
    </row>
    <row r="1577" spans="1:7" ht="29.25" x14ac:dyDescent="0.25">
      <c r="A1577" s="2" t="str">
        <f>"00086360"</f>
        <v>00086360</v>
      </c>
      <c r="B1577" s="2" t="str">
        <f t="shared" si="58"/>
        <v xml:space="preserve">  </v>
      </c>
      <c r="C1577" s="1" t="s">
        <v>1272</v>
      </c>
      <c r="D1577" s="1" t="s">
        <v>0</v>
      </c>
      <c r="E1577" s="1" t="s">
        <v>12</v>
      </c>
      <c r="F1577" s="2" t="s">
        <v>0</v>
      </c>
      <c r="G1577" s="3">
        <v>46.98</v>
      </c>
    </row>
    <row r="1578" spans="1:7" ht="29.25" x14ac:dyDescent="0.25">
      <c r="A1578" s="2" t="str">
        <f>"00086361"</f>
        <v>00086361</v>
      </c>
      <c r="B1578" s="2" t="str">
        <f t="shared" si="58"/>
        <v xml:space="preserve">  </v>
      </c>
      <c r="C1578" s="1" t="s">
        <v>1273</v>
      </c>
      <c r="D1578" s="1" t="s">
        <v>0</v>
      </c>
      <c r="E1578" s="1" t="s">
        <v>12</v>
      </c>
      <c r="F1578" s="2" t="s">
        <v>0</v>
      </c>
      <c r="G1578" s="3">
        <v>26.78</v>
      </c>
    </row>
    <row r="1579" spans="1:7" ht="57.75" x14ac:dyDescent="0.25">
      <c r="A1579" s="2" t="str">
        <f>"00086362"</f>
        <v>00086362</v>
      </c>
      <c r="B1579" s="2" t="str">
        <f t="shared" si="58"/>
        <v xml:space="preserve">  </v>
      </c>
      <c r="C1579" s="1" t="s">
        <v>1274</v>
      </c>
      <c r="D1579" s="1" t="s">
        <v>0</v>
      </c>
      <c r="E1579" s="1" t="s">
        <v>14</v>
      </c>
      <c r="F1579" s="2" t="s">
        <v>0</v>
      </c>
      <c r="G1579" s="17" t="s">
        <v>1769</v>
      </c>
    </row>
    <row r="1580" spans="1:7" ht="57.75" x14ac:dyDescent="0.25">
      <c r="A1580" s="2" t="str">
        <f>"00086362"</f>
        <v>00086362</v>
      </c>
      <c r="B1580" s="2" t="str">
        <f>"90"</f>
        <v>90</v>
      </c>
      <c r="C1580" s="1" t="s">
        <v>1274</v>
      </c>
      <c r="D1580" s="1" t="s">
        <v>0</v>
      </c>
      <c r="E1580" s="1" t="s">
        <v>14</v>
      </c>
      <c r="F1580" s="2" t="s">
        <v>0</v>
      </c>
      <c r="G1580" s="17" t="s">
        <v>1769</v>
      </c>
    </row>
    <row r="1581" spans="1:7" ht="43.5" x14ac:dyDescent="0.25">
      <c r="A1581" s="2" t="str">
        <f>"00086363"</f>
        <v>00086363</v>
      </c>
      <c r="B1581" s="2" t="str">
        <f>"  "</f>
        <v xml:space="preserve">  </v>
      </c>
      <c r="C1581" s="1" t="s">
        <v>1275</v>
      </c>
      <c r="D1581" s="1" t="s">
        <v>0</v>
      </c>
      <c r="E1581" s="1" t="s">
        <v>14</v>
      </c>
      <c r="F1581" s="2" t="s">
        <v>0</v>
      </c>
      <c r="G1581" s="17" t="s">
        <v>1769</v>
      </c>
    </row>
    <row r="1582" spans="1:7" ht="43.5" x14ac:dyDescent="0.25">
      <c r="A1582" s="2" t="str">
        <f>"00086363"</f>
        <v>00086363</v>
      </c>
      <c r="B1582" s="2" t="str">
        <f>"90"</f>
        <v>90</v>
      </c>
      <c r="C1582" s="1" t="s">
        <v>1275</v>
      </c>
      <c r="D1582" s="1" t="s">
        <v>0</v>
      </c>
      <c r="E1582" s="1" t="s">
        <v>14</v>
      </c>
      <c r="F1582" s="2" t="s">
        <v>0</v>
      </c>
      <c r="G1582" s="17" t="s">
        <v>1769</v>
      </c>
    </row>
    <row r="1583" spans="1:7" ht="29.25" x14ac:dyDescent="0.25">
      <c r="A1583" s="2" t="str">
        <f>"00086364"</f>
        <v>00086364</v>
      </c>
      <c r="B1583" s="2" t="str">
        <f>"  "</f>
        <v xml:space="preserve">  </v>
      </c>
      <c r="C1583" s="1" t="s">
        <v>1276</v>
      </c>
      <c r="D1583" s="1" t="s">
        <v>0</v>
      </c>
      <c r="E1583" s="1" t="s">
        <v>14</v>
      </c>
      <c r="F1583" s="2" t="s">
        <v>0</v>
      </c>
      <c r="G1583" s="17" t="s">
        <v>1769</v>
      </c>
    </row>
    <row r="1584" spans="1:7" ht="29.25" x14ac:dyDescent="0.25">
      <c r="A1584" s="2" t="str">
        <f>"00086364"</f>
        <v>00086364</v>
      </c>
      <c r="B1584" s="2" t="str">
        <f>"90"</f>
        <v>90</v>
      </c>
      <c r="C1584" s="1" t="s">
        <v>1276</v>
      </c>
      <c r="D1584" s="1" t="s">
        <v>0</v>
      </c>
      <c r="E1584" s="1" t="s">
        <v>14</v>
      </c>
      <c r="F1584" s="2" t="s">
        <v>0</v>
      </c>
      <c r="G1584" s="17" t="s">
        <v>1769</v>
      </c>
    </row>
    <row r="1585" spans="1:8" ht="29.25" x14ac:dyDescent="0.25">
      <c r="A1585" s="2" t="str">
        <f>"00086366"</f>
        <v>00086366</v>
      </c>
      <c r="B1585" s="2" t="str">
        <f>"  "</f>
        <v xml:space="preserve">  </v>
      </c>
      <c r="C1585" s="1" t="s">
        <v>1277</v>
      </c>
      <c r="D1585" s="1" t="s">
        <v>0</v>
      </c>
      <c r="E1585" s="1" t="s">
        <v>14</v>
      </c>
      <c r="F1585" s="2" t="s">
        <v>0</v>
      </c>
      <c r="G1585" s="17" t="s">
        <v>1769</v>
      </c>
    </row>
    <row r="1586" spans="1:8" ht="29.25" x14ac:dyDescent="0.25">
      <c r="A1586" s="2" t="str">
        <f>"00086366"</f>
        <v>00086366</v>
      </c>
      <c r="B1586" s="2" t="str">
        <f>"90"</f>
        <v>90</v>
      </c>
      <c r="C1586" s="1" t="s">
        <v>1277</v>
      </c>
      <c r="D1586" s="1" t="s">
        <v>0</v>
      </c>
      <c r="E1586" s="1" t="s">
        <v>14</v>
      </c>
      <c r="F1586" s="2" t="s">
        <v>0</v>
      </c>
      <c r="G1586" s="17" t="s">
        <v>1769</v>
      </c>
    </row>
    <row r="1587" spans="1:8" ht="29.25" x14ac:dyDescent="0.25">
      <c r="A1587" s="2" t="str">
        <f>"00086367"</f>
        <v>00086367</v>
      </c>
      <c r="B1587" s="2" t="str">
        <f>"  "</f>
        <v xml:space="preserve">  </v>
      </c>
      <c r="C1587" s="1" t="s">
        <v>1278</v>
      </c>
      <c r="D1587" s="1" t="s">
        <v>0</v>
      </c>
      <c r="E1587" s="1" t="s">
        <v>12</v>
      </c>
      <c r="F1587" s="2" t="s">
        <v>0</v>
      </c>
      <c r="G1587" s="3">
        <v>77.78</v>
      </c>
    </row>
    <row r="1588" spans="1:8" ht="43.5" x14ac:dyDescent="0.25">
      <c r="A1588" s="2" t="str">
        <f>"00086376"</f>
        <v>00086376</v>
      </c>
      <c r="B1588" s="2" t="str">
        <f>"  "</f>
        <v xml:space="preserve">  </v>
      </c>
      <c r="C1588" s="1" t="s">
        <v>1279</v>
      </c>
      <c r="D1588" s="1" t="s">
        <v>0</v>
      </c>
      <c r="E1588" s="1" t="s">
        <v>12</v>
      </c>
      <c r="F1588" s="2" t="s">
        <v>0</v>
      </c>
      <c r="G1588" s="3">
        <v>14.55</v>
      </c>
    </row>
    <row r="1589" spans="1:8" ht="29.25" x14ac:dyDescent="0.25">
      <c r="A1589" s="2" t="str">
        <f>"00086381"</f>
        <v>00086381</v>
      </c>
      <c r="B1589" s="2" t="str">
        <f>"  "</f>
        <v xml:space="preserve">  </v>
      </c>
      <c r="C1589" s="1" t="s">
        <v>1280</v>
      </c>
      <c r="D1589" s="1" t="s">
        <v>0</v>
      </c>
      <c r="E1589" s="1" t="s">
        <v>14</v>
      </c>
      <c r="F1589" s="2" t="s">
        <v>0</v>
      </c>
      <c r="G1589" s="17" t="s">
        <v>1769</v>
      </c>
    </row>
    <row r="1590" spans="1:8" ht="29.25" x14ac:dyDescent="0.25">
      <c r="A1590" s="2" t="str">
        <f>"00086381"</f>
        <v>00086381</v>
      </c>
      <c r="B1590" s="2" t="str">
        <f>"90"</f>
        <v>90</v>
      </c>
      <c r="C1590" s="1" t="s">
        <v>1280</v>
      </c>
      <c r="D1590" s="1" t="s">
        <v>0</v>
      </c>
      <c r="E1590" s="1" t="s">
        <v>14</v>
      </c>
      <c r="F1590" s="2" t="s">
        <v>0</v>
      </c>
      <c r="G1590" s="17" t="s">
        <v>1769</v>
      </c>
    </row>
    <row r="1591" spans="1:8" ht="29.25" x14ac:dyDescent="0.25">
      <c r="A1591" s="2" t="str">
        <f>"00086382"</f>
        <v>00086382</v>
      </c>
      <c r="B1591" s="2" t="str">
        <f>"  "</f>
        <v xml:space="preserve">  </v>
      </c>
      <c r="C1591" s="1" t="s">
        <v>1281</v>
      </c>
      <c r="D1591" s="1" t="s">
        <v>0</v>
      </c>
      <c r="E1591" s="1" t="s">
        <v>12</v>
      </c>
      <c r="F1591" s="2" t="s">
        <v>0</v>
      </c>
      <c r="G1591" s="3">
        <v>16.91</v>
      </c>
    </row>
    <row r="1592" spans="1:8" ht="43.5" x14ac:dyDescent="0.25">
      <c r="A1592" s="2" t="str">
        <f>"00086384"</f>
        <v>00086384</v>
      </c>
      <c r="B1592" s="2" t="str">
        <f>"  "</f>
        <v xml:space="preserve">  </v>
      </c>
      <c r="C1592" s="1" t="s">
        <v>1282</v>
      </c>
      <c r="D1592" s="1" t="s">
        <v>0</v>
      </c>
      <c r="E1592" s="1" t="s">
        <v>12</v>
      </c>
      <c r="F1592" s="2" t="s">
        <v>0</v>
      </c>
      <c r="G1592" s="3">
        <v>13.61</v>
      </c>
    </row>
    <row r="1593" spans="1:8" ht="29.25" x14ac:dyDescent="0.25">
      <c r="A1593" s="2" t="str">
        <f>"00086386"</f>
        <v>00086386</v>
      </c>
      <c r="B1593" s="2" t="str">
        <f>"  "</f>
        <v xml:space="preserve">  </v>
      </c>
      <c r="C1593" s="1" t="s">
        <v>1283</v>
      </c>
      <c r="D1593" s="1" t="s">
        <v>0</v>
      </c>
      <c r="E1593" s="1" t="s">
        <v>12</v>
      </c>
      <c r="F1593" s="2" t="s">
        <v>0</v>
      </c>
      <c r="G1593" s="3">
        <v>21.78</v>
      </c>
    </row>
    <row r="1594" spans="1:8" ht="29.25" x14ac:dyDescent="0.25">
      <c r="A1594" s="2" t="str">
        <f>"00086386"</f>
        <v>00086386</v>
      </c>
      <c r="B1594" s="2" t="str">
        <f>"QW"</f>
        <v>QW</v>
      </c>
      <c r="C1594" s="1" t="s">
        <v>1284</v>
      </c>
      <c r="D1594" s="1" t="s">
        <v>0</v>
      </c>
      <c r="E1594" s="1" t="s">
        <v>12</v>
      </c>
      <c r="F1594" s="2" t="s">
        <v>0</v>
      </c>
      <c r="G1594" s="3">
        <v>21.78</v>
      </c>
    </row>
    <row r="1595" spans="1:8" ht="29.25" x14ac:dyDescent="0.25">
      <c r="A1595" s="2" t="str">
        <f>"00086403"</f>
        <v>00086403</v>
      </c>
      <c r="B1595" s="2" t="str">
        <f t="shared" ref="B1595:B1606" si="59">"  "</f>
        <v xml:space="preserve">  </v>
      </c>
      <c r="C1595" s="1" t="s">
        <v>1285</v>
      </c>
      <c r="D1595" s="1" t="s">
        <v>0</v>
      </c>
      <c r="E1595" s="1" t="s">
        <v>12</v>
      </c>
      <c r="F1595" s="2" t="s">
        <v>0</v>
      </c>
      <c r="G1595" s="3">
        <v>11.54</v>
      </c>
    </row>
    <row r="1596" spans="1:8" ht="29.25" x14ac:dyDescent="0.25">
      <c r="A1596" s="2" t="str">
        <f>"00086406"</f>
        <v>00086406</v>
      </c>
      <c r="B1596" s="2" t="str">
        <f t="shared" si="59"/>
        <v xml:space="preserve">  </v>
      </c>
      <c r="C1596" s="1" t="s">
        <v>1286</v>
      </c>
      <c r="D1596" s="1" t="s">
        <v>0</v>
      </c>
      <c r="E1596" s="1" t="s">
        <v>12</v>
      </c>
      <c r="F1596" s="2" t="s">
        <v>0</v>
      </c>
      <c r="G1596" s="3">
        <v>10.64</v>
      </c>
    </row>
    <row r="1597" spans="1:8" ht="72" x14ac:dyDescent="0.25">
      <c r="A1597" s="2" t="str">
        <f>"00086408"</f>
        <v>00086408</v>
      </c>
      <c r="B1597" s="2" t="str">
        <f t="shared" si="59"/>
        <v xml:space="preserve">  </v>
      </c>
      <c r="C1597" s="1" t="s">
        <v>1287</v>
      </c>
      <c r="D1597" s="1" t="s">
        <v>0</v>
      </c>
      <c r="E1597" s="1" t="s">
        <v>56</v>
      </c>
      <c r="F1597" s="2" t="s">
        <v>0</v>
      </c>
      <c r="G1597" s="3">
        <v>42.13</v>
      </c>
      <c r="H1597" s="4"/>
    </row>
    <row r="1598" spans="1:8" ht="72" x14ac:dyDescent="0.25">
      <c r="A1598" s="2" t="str">
        <f>"00086409"</f>
        <v>00086409</v>
      </c>
      <c r="B1598" s="2" t="str">
        <f t="shared" si="59"/>
        <v xml:space="preserve">  </v>
      </c>
      <c r="C1598" s="1" t="s">
        <v>1288</v>
      </c>
      <c r="D1598" s="1" t="s">
        <v>0</v>
      </c>
      <c r="E1598" s="1" t="s">
        <v>56</v>
      </c>
      <c r="F1598" s="2" t="s">
        <v>0</v>
      </c>
      <c r="G1598" s="3">
        <v>79.61</v>
      </c>
      <c r="H1598" s="5"/>
    </row>
    <row r="1599" spans="1:8" ht="43.5" x14ac:dyDescent="0.25">
      <c r="A1599" s="2" t="str">
        <f>"00086430"</f>
        <v>00086430</v>
      </c>
      <c r="B1599" s="2" t="str">
        <f t="shared" si="59"/>
        <v xml:space="preserve">  </v>
      </c>
      <c r="C1599" s="1" t="s">
        <v>1289</v>
      </c>
      <c r="D1599" s="1" t="s">
        <v>0</v>
      </c>
      <c r="E1599" s="1" t="s">
        <v>12</v>
      </c>
      <c r="F1599" s="2" t="s">
        <v>0</v>
      </c>
      <c r="G1599" s="3">
        <v>6.14</v>
      </c>
    </row>
    <row r="1600" spans="1:8" ht="29.25" x14ac:dyDescent="0.25">
      <c r="A1600" s="2" t="str">
        <f>"00086431"</f>
        <v>00086431</v>
      </c>
      <c r="B1600" s="2" t="str">
        <f t="shared" si="59"/>
        <v xml:space="preserve">  </v>
      </c>
      <c r="C1600" s="1" t="s">
        <v>1290</v>
      </c>
      <c r="D1600" s="1" t="s">
        <v>0</v>
      </c>
      <c r="E1600" s="1" t="s">
        <v>12</v>
      </c>
      <c r="F1600" s="2" t="s">
        <v>0</v>
      </c>
      <c r="G1600" s="3">
        <v>5.67</v>
      </c>
    </row>
    <row r="1601" spans="1:7" ht="72" x14ac:dyDescent="0.25">
      <c r="A1601" s="2" t="str">
        <f>"00086480"</f>
        <v>00086480</v>
      </c>
      <c r="B1601" s="2" t="str">
        <f t="shared" si="59"/>
        <v xml:space="preserve">  </v>
      </c>
      <c r="C1601" s="1" t="s">
        <v>1291</v>
      </c>
      <c r="D1601" s="1" t="s">
        <v>0</v>
      </c>
      <c r="E1601" s="1" t="s">
        <v>1292</v>
      </c>
      <c r="F1601" s="2" t="s">
        <v>0</v>
      </c>
      <c r="G1601" s="3">
        <v>61.98</v>
      </c>
    </row>
    <row r="1602" spans="1:7" ht="100.5" x14ac:dyDescent="0.25">
      <c r="A1602" s="2" t="str">
        <f>"00086481"</f>
        <v>00086481</v>
      </c>
      <c r="B1602" s="2" t="str">
        <f t="shared" si="59"/>
        <v xml:space="preserve">  </v>
      </c>
      <c r="C1602" s="1" t="s">
        <v>1293</v>
      </c>
      <c r="D1602" s="1" t="s">
        <v>0</v>
      </c>
      <c r="E1602" s="1" t="s">
        <v>12</v>
      </c>
      <c r="F1602" s="2" t="s">
        <v>0</v>
      </c>
      <c r="G1602" s="3">
        <v>100</v>
      </c>
    </row>
    <row r="1603" spans="1:7" x14ac:dyDescent="0.25">
      <c r="A1603" s="2" t="str">
        <f>"00086590"</f>
        <v>00086590</v>
      </c>
      <c r="B1603" s="2" t="str">
        <f t="shared" si="59"/>
        <v xml:space="preserve">  </v>
      </c>
      <c r="C1603" s="1" t="s">
        <v>1294</v>
      </c>
      <c r="D1603" s="1" t="s">
        <v>0</v>
      </c>
      <c r="E1603" s="1" t="s">
        <v>12</v>
      </c>
      <c r="F1603" s="2" t="s">
        <v>0</v>
      </c>
      <c r="G1603" s="3">
        <v>12.66</v>
      </c>
    </row>
    <row r="1604" spans="1:7" ht="57.75" x14ac:dyDescent="0.25">
      <c r="A1604" s="2" t="str">
        <f>"00086592"</f>
        <v>00086592</v>
      </c>
      <c r="B1604" s="2" t="str">
        <f t="shared" si="59"/>
        <v xml:space="preserve">  </v>
      </c>
      <c r="C1604" s="1" t="s">
        <v>1295</v>
      </c>
      <c r="D1604" s="1" t="s">
        <v>0</v>
      </c>
      <c r="E1604" s="1" t="s">
        <v>12</v>
      </c>
      <c r="F1604" s="2" t="s">
        <v>0</v>
      </c>
      <c r="G1604" s="3">
        <v>4.2699999999999996</v>
      </c>
    </row>
    <row r="1605" spans="1:7" ht="43.5" x14ac:dyDescent="0.25">
      <c r="A1605" s="2" t="str">
        <f>"00086593"</f>
        <v>00086593</v>
      </c>
      <c r="B1605" s="2" t="str">
        <f t="shared" si="59"/>
        <v xml:space="preserve">  </v>
      </c>
      <c r="C1605" s="1" t="s">
        <v>1296</v>
      </c>
      <c r="D1605" s="1" t="s">
        <v>0</v>
      </c>
      <c r="E1605" s="1" t="s">
        <v>12</v>
      </c>
      <c r="F1605" s="2" t="s">
        <v>0</v>
      </c>
      <c r="G1605" s="3">
        <v>4.4000000000000004</v>
      </c>
    </row>
    <row r="1606" spans="1:7" ht="29.25" x14ac:dyDescent="0.25">
      <c r="A1606" s="2" t="str">
        <f>"00086596"</f>
        <v>00086596</v>
      </c>
      <c r="B1606" s="2" t="str">
        <f t="shared" si="59"/>
        <v xml:space="preserve">  </v>
      </c>
      <c r="C1606" s="1" t="s">
        <v>1297</v>
      </c>
      <c r="D1606" s="1" t="s">
        <v>0</v>
      </c>
      <c r="E1606" s="1" t="s">
        <v>14</v>
      </c>
      <c r="F1606" s="2" t="s">
        <v>0</v>
      </c>
      <c r="G1606" s="17" t="s">
        <v>1769</v>
      </c>
    </row>
    <row r="1607" spans="1:7" ht="29.25" x14ac:dyDescent="0.25">
      <c r="A1607" s="2" t="str">
        <f>"00086596"</f>
        <v>00086596</v>
      </c>
      <c r="B1607" s="2" t="str">
        <f>"90"</f>
        <v>90</v>
      </c>
      <c r="C1607" s="1" t="s">
        <v>1297</v>
      </c>
      <c r="D1607" s="1" t="s">
        <v>0</v>
      </c>
      <c r="E1607" s="1" t="s">
        <v>14</v>
      </c>
      <c r="F1607" s="2" t="s">
        <v>0</v>
      </c>
      <c r="G1607" s="17" t="s">
        <v>1769</v>
      </c>
    </row>
    <row r="1608" spans="1:7" x14ac:dyDescent="0.25">
      <c r="A1608" s="2" t="str">
        <f>"00086602"</f>
        <v>00086602</v>
      </c>
      <c r="B1608" s="2" t="str">
        <f t="shared" ref="B1608:B1616" si="60">"  "</f>
        <v xml:space="preserve">  </v>
      </c>
      <c r="C1608" s="1" t="s">
        <v>1298</v>
      </c>
      <c r="D1608" s="1" t="s">
        <v>0</v>
      </c>
      <c r="E1608" s="1" t="s">
        <v>12</v>
      </c>
      <c r="F1608" s="2" t="s">
        <v>0</v>
      </c>
      <c r="G1608" s="3">
        <v>10.18</v>
      </c>
    </row>
    <row r="1609" spans="1:7" x14ac:dyDescent="0.25">
      <c r="A1609" s="2" t="str">
        <f>"00086603"</f>
        <v>00086603</v>
      </c>
      <c r="B1609" s="2" t="str">
        <f t="shared" si="60"/>
        <v xml:space="preserve">  </v>
      </c>
      <c r="C1609" s="1" t="s">
        <v>1299</v>
      </c>
      <c r="D1609" s="1" t="s">
        <v>0</v>
      </c>
      <c r="E1609" s="1" t="s">
        <v>12</v>
      </c>
      <c r="F1609" s="2" t="s">
        <v>0</v>
      </c>
      <c r="G1609" s="3">
        <v>12.87</v>
      </c>
    </row>
    <row r="1610" spans="1:7" x14ac:dyDescent="0.25">
      <c r="A1610" s="2" t="str">
        <f>"00086606"</f>
        <v>00086606</v>
      </c>
      <c r="B1610" s="2" t="str">
        <f t="shared" si="60"/>
        <v xml:space="preserve">  </v>
      </c>
      <c r="C1610" s="1" t="s">
        <v>1300</v>
      </c>
      <c r="D1610" s="1" t="s">
        <v>0</v>
      </c>
      <c r="E1610" s="1" t="s">
        <v>12</v>
      </c>
      <c r="F1610" s="2" t="s">
        <v>0</v>
      </c>
      <c r="G1610" s="3">
        <v>15.05</v>
      </c>
    </row>
    <row r="1611" spans="1:7" ht="29.25" x14ac:dyDescent="0.25">
      <c r="A1611" s="2" t="str">
        <f>"00086609"</f>
        <v>00086609</v>
      </c>
      <c r="B1611" s="2" t="str">
        <f t="shared" si="60"/>
        <v xml:space="preserve">  </v>
      </c>
      <c r="C1611" s="1" t="s">
        <v>1301</v>
      </c>
      <c r="D1611" s="1" t="s">
        <v>0</v>
      </c>
      <c r="E1611" s="1" t="s">
        <v>12</v>
      </c>
      <c r="F1611" s="2" t="s">
        <v>0</v>
      </c>
      <c r="G1611" s="3">
        <v>12.88</v>
      </c>
    </row>
    <row r="1612" spans="1:7" x14ac:dyDescent="0.25">
      <c r="A1612" s="2" t="str">
        <f>"00086611"</f>
        <v>00086611</v>
      </c>
      <c r="B1612" s="2" t="str">
        <f t="shared" si="60"/>
        <v xml:space="preserve">  </v>
      </c>
      <c r="C1612" s="1" t="s">
        <v>1302</v>
      </c>
      <c r="D1612" s="1" t="s">
        <v>0</v>
      </c>
      <c r="E1612" s="1" t="s">
        <v>12</v>
      </c>
      <c r="F1612" s="2" t="s">
        <v>0</v>
      </c>
      <c r="G1612" s="3">
        <v>10.18</v>
      </c>
    </row>
    <row r="1613" spans="1:7" x14ac:dyDescent="0.25">
      <c r="A1613" s="2" t="str">
        <f>"00086612"</f>
        <v>00086612</v>
      </c>
      <c r="B1613" s="2" t="str">
        <f t="shared" si="60"/>
        <v xml:space="preserve">  </v>
      </c>
      <c r="C1613" s="1" t="s">
        <v>1303</v>
      </c>
      <c r="D1613" s="1" t="s">
        <v>0</v>
      </c>
      <c r="E1613" s="1" t="s">
        <v>12</v>
      </c>
      <c r="F1613" s="2" t="s">
        <v>0</v>
      </c>
      <c r="G1613" s="3">
        <v>12.9</v>
      </c>
    </row>
    <row r="1614" spans="1:7" x14ac:dyDescent="0.25">
      <c r="A1614" s="2" t="str">
        <f>"00086615"</f>
        <v>00086615</v>
      </c>
      <c r="B1614" s="2" t="str">
        <f t="shared" si="60"/>
        <v xml:space="preserve">  </v>
      </c>
      <c r="C1614" s="1" t="s">
        <v>1304</v>
      </c>
      <c r="D1614" s="1" t="s">
        <v>0</v>
      </c>
      <c r="E1614" s="1" t="s">
        <v>12</v>
      </c>
      <c r="F1614" s="2" t="s">
        <v>0</v>
      </c>
      <c r="G1614" s="3">
        <v>13.19</v>
      </c>
    </row>
    <row r="1615" spans="1:7" ht="57.75" x14ac:dyDescent="0.25">
      <c r="A1615" s="2" t="str">
        <f>"00086617"</f>
        <v>00086617</v>
      </c>
      <c r="B1615" s="2" t="str">
        <f t="shared" si="60"/>
        <v xml:space="preserve">  </v>
      </c>
      <c r="C1615" s="1" t="s">
        <v>1305</v>
      </c>
      <c r="D1615" s="1" t="s">
        <v>0</v>
      </c>
      <c r="E1615" s="1" t="s">
        <v>12</v>
      </c>
      <c r="F1615" s="2" t="s">
        <v>0</v>
      </c>
      <c r="G1615" s="3">
        <v>15.49</v>
      </c>
    </row>
    <row r="1616" spans="1:7" ht="29.25" x14ac:dyDescent="0.25">
      <c r="A1616" s="2" t="str">
        <f>"00086618"</f>
        <v>00086618</v>
      </c>
      <c r="B1616" s="2" t="str">
        <f t="shared" si="60"/>
        <v xml:space="preserve">  </v>
      </c>
      <c r="C1616" s="1" t="s">
        <v>1306</v>
      </c>
      <c r="D1616" s="1" t="s">
        <v>0</v>
      </c>
      <c r="E1616" s="1" t="s">
        <v>12</v>
      </c>
      <c r="F1616" s="2" t="s">
        <v>0</v>
      </c>
      <c r="G1616" s="3">
        <v>17.03</v>
      </c>
    </row>
    <row r="1617" spans="1:7" ht="43.5" x14ac:dyDescent="0.25">
      <c r="A1617" s="2" t="str">
        <f>"00086618"</f>
        <v>00086618</v>
      </c>
      <c r="B1617" s="2" t="str">
        <f>"QW"</f>
        <v>QW</v>
      </c>
      <c r="C1617" s="1" t="s">
        <v>1307</v>
      </c>
      <c r="D1617" s="1" t="s">
        <v>0</v>
      </c>
      <c r="E1617" s="1" t="s">
        <v>12</v>
      </c>
      <c r="F1617" s="2" t="s">
        <v>0</v>
      </c>
      <c r="G1617" s="3">
        <v>17.03</v>
      </c>
    </row>
    <row r="1618" spans="1:7" ht="29.25" x14ac:dyDescent="0.25">
      <c r="A1618" s="2" t="str">
        <f>"00086619"</f>
        <v>00086619</v>
      </c>
      <c r="B1618" s="2" t="str">
        <f t="shared" ref="B1618:B1653" si="61">"  "</f>
        <v xml:space="preserve">  </v>
      </c>
      <c r="C1618" s="1" t="s">
        <v>1308</v>
      </c>
      <c r="D1618" s="1" t="s">
        <v>0</v>
      </c>
      <c r="E1618" s="1" t="s">
        <v>12</v>
      </c>
      <c r="F1618" s="2" t="s">
        <v>0</v>
      </c>
      <c r="G1618" s="3">
        <v>13.38</v>
      </c>
    </row>
    <row r="1619" spans="1:7" x14ac:dyDescent="0.25">
      <c r="A1619" s="2" t="str">
        <f>"00086622"</f>
        <v>00086622</v>
      </c>
      <c r="B1619" s="2" t="str">
        <f t="shared" si="61"/>
        <v xml:space="preserve">  </v>
      </c>
      <c r="C1619" s="1" t="s">
        <v>1309</v>
      </c>
      <c r="D1619" s="1" t="s">
        <v>0</v>
      </c>
      <c r="E1619" s="1" t="s">
        <v>12</v>
      </c>
      <c r="F1619" s="2" t="s">
        <v>0</v>
      </c>
      <c r="G1619" s="3">
        <v>8.93</v>
      </c>
    </row>
    <row r="1620" spans="1:7" ht="29.25" x14ac:dyDescent="0.25">
      <c r="A1620" s="2" t="str">
        <f>"00086625"</f>
        <v>00086625</v>
      </c>
      <c r="B1620" s="2" t="str">
        <f t="shared" si="61"/>
        <v xml:space="preserve">  </v>
      </c>
      <c r="C1620" s="1" t="s">
        <v>1310</v>
      </c>
      <c r="D1620" s="1" t="s">
        <v>0</v>
      </c>
      <c r="E1620" s="1" t="s">
        <v>12</v>
      </c>
      <c r="F1620" s="2" t="s">
        <v>0</v>
      </c>
      <c r="G1620" s="3">
        <v>13.12</v>
      </c>
    </row>
    <row r="1621" spans="1:7" x14ac:dyDescent="0.25">
      <c r="A1621" s="2" t="str">
        <f>"00086628"</f>
        <v>00086628</v>
      </c>
      <c r="B1621" s="2" t="str">
        <f t="shared" si="61"/>
        <v xml:space="preserve">  </v>
      </c>
      <c r="C1621" s="1" t="s">
        <v>1311</v>
      </c>
      <c r="D1621" s="1" t="s">
        <v>0</v>
      </c>
      <c r="E1621" s="1" t="s">
        <v>12</v>
      </c>
      <c r="F1621" s="2" t="s">
        <v>0</v>
      </c>
      <c r="G1621" s="3">
        <v>12.01</v>
      </c>
    </row>
    <row r="1622" spans="1:7" x14ac:dyDescent="0.25">
      <c r="A1622" s="2" t="str">
        <f>"00086631"</f>
        <v>00086631</v>
      </c>
      <c r="B1622" s="2" t="str">
        <f t="shared" si="61"/>
        <v xml:space="preserve">  </v>
      </c>
      <c r="C1622" s="1" t="s">
        <v>1312</v>
      </c>
      <c r="D1622" s="1" t="s">
        <v>0</v>
      </c>
      <c r="E1622" s="1" t="s">
        <v>12</v>
      </c>
      <c r="F1622" s="2" t="s">
        <v>0</v>
      </c>
      <c r="G1622" s="3">
        <v>11.82</v>
      </c>
    </row>
    <row r="1623" spans="1:7" x14ac:dyDescent="0.25">
      <c r="A1623" s="2" t="str">
        <f>"00086632"</f>
        <v>00086632</v>
      </c>
      <c r="B1623" s="2" t="str">
        <f t="shared" si="61"/>
        <v xml:space="preserve">  </v>
      </c>
      <c r="C1623" s="1" t="s">
        <v>1313</v>
      </c>
      <c r="D1623" s="1" t="s">
        <v>0</v>
      </c>
      <c r="E1623" s="1" t="s">
        <v>12</v>
      </c>
      <c r="F1623" s="2" t="s">
        <v>0</v>
      </c>
      <c r="G1623" s="3">
        <v>12.68</v>
      </c>
    </row>
    <row r="1624" spans="1:7" x14ac:dyDescent="0.25">
      <c r="A1624" s="2" t="str">
        <f>"00086635"</f>
        <v>00086635</v>
      </c>
      <c r="B1624" s="2" t="str">
        <f t="shared" si="61"/>
        <v xml:space="preserve">  </v>
      </c>
      <c r="C1624" s="1" t="s">
        <v>1314</v>
      </c>
      <c r="D1624" s="1" t="s">
        <v>0</v>
      </c>
      <c r="E1624" s="1" t="s">
        <v>12</v>
      </c>
      <c r="F1624" s="2" t="s">
        <v>0</v>
      </c>
      <c r="G1624" s="3">
        <v>11.47</v>
      </c>
    </row>
    <row r="1625" spans="1:7" ht="29.25" x14ac:dyDescent="0.25">
      <c r="A1625" s="2" t="str">
        <f>"00086638"</f>
        <v>00086638</v>
      </c>
      <c r="B1625" s="2" t="str">
        <f t="shared" si="61"/>
        <v xml:space="preserve">  </v>
      </c>
      <c r="C1625" s="1" t="s">
        <v>1315</v>
      </c>
      <c r="D1625" s="1" t="s">
        <v>0</v>
      </c>
      <c r="E1625" s="1" t="s">
        <v>12</v>
      </c>
      <c r="F1625" s="2" t="s">
        <v>0</v>
      </c>
      <c r="G1625" s="3">
        <v>12.12</v>
      </c>
    </row>
    <row r="1626" spans="1:7" x14ac:dyDescent="0.25">
      <c r="A1626" s="2" t="str">
        <f>"00086641"</f>
        <v>00086641</v>
      </c>
      <c r="B1626" s="2" t="str">
        <f t="shared" si="61"/>
        <v xml:space="preserve">  </v>
      </c>
      <c r="C1626" s="1" t="s">
        <v>1316</v>
      </c>
      <c r="D1626" s="1" t="s">
        <v>0</v>
      </c>
      <c r="E1626" s="1" t="s">
        <v>12</v>
      </c>
      <c r="F1626" s="2" t="s">
        <v>0</v>
      </c>
      <c r="G1626" s="3">
        <v>14.41</v>
      </c>
    </row>
    <row r="1627" spans="1:7" ht="29.25" x14ac:dyDescent="0.25">
      <c r="A1627" s="2" t="str">
        <f>"00086644"</f>
        <v>00086644</v>
      </c>
      <c r="B1627" s="2" t="str">
        <f t="shared" si="61"/>
        <v xml:space="preserve">  </v>
      </c>
      <c r="C1627" s="1" t="s">
        <v>1317</v>
      </c>
      <c r="D1627" s="1" t="s">
        <v>0</v>
      </c>
      <c r="E1627" s="1" t="s">
        <v>12</v>
      </c>
      <c r="F1627" s="2" t="s">
        <v>0</v>
      </c>
      <c r="G1627" s="3">
        <v>14.39</v>
      </c>
    </row>
    <row r="1628" spans="1:7" ht="29.25" x14ac:dyDescent="0.25">
      <c r="A1628" s="2" t="str">
        <f>"00086645"</f>
        <v>00086645</v>
      </c>
      <c r="B1628" s="2" t="str">
        <f t="shared" si="61"/>
        <v xml:space="preserve">  </v>
      </c>
      <c r="C1628" s="1" t="s">
        <v>1318</v>
      </c>
      <c r="D1628" s="1" t="s">
        <v>0</v>
      </c>
      <c r="E1628" s="1" t="s">
        <v>12</v>
      </c>
      <c r="F1628" s="2" t="s">
        <v>0</v>
      </c>
      <c r="G1628" s="3">
        <v>16.850000000000001</v>
      </c>
    </row>
    <row r="1629" spans="1:7" x14ac:dyDescent="0.25">
      <c r="A1629" s="2" t="str">
        <f>"00086648"</f>
        <v>00086648</v>
      </c>
      <c r="B1629" s="2" t="str">
        <f t="shared" si="61"/>
        <v xml:space="preserve">  </v>
      </c>
      <c r="C1629" s="1" t="s">
        <v>1319</v>
      </c>
      <c r="D1629" s="1" t="s">
        <v>0</v>
      </c>
      <c r="E1629" s="1" t="s">
        <v>12</v>
      </c>
      <c r="F1629" s="2" t="s">
        <v>0</v>
      </c>
      <c r="G1629" s="3">
        <v>15.21</v>
      </c>
    </row>
    <row r="1630" spans="1:7" ht="29.25" x14ac:dyDescent="0.25">
      <c r="A1630" s="2" t="str">
        <f>"00086651"</f>
        <v>00086651</v>
      </c>
      <c r="B1630" s="2" t="str">
        <f t="shared" si="61"/>
        <v xml:space="preserve">  </v>
      </c>
      <c r="C1630" s="1" t="s">
        <v>1320</v>
      </c>
      <c r="D1630" s="1" t="s">
        <v>0</v>
      </c>
      <c r="E1630" s="1" t="s">
        <v>12</v>
      </c>
      <c r="F1630" s="2" t="s">
        <v>0</v>
      </c>
      <c r="G1630" s="3">
        <v>13.19</v>
      </c>
    </row>
    <row r="1631" spans="1:7" ht="29.25" x14ac:dyDescent="0.25">
      <c r="A1631" s="2" t="str">
        <f>"00086652"</f>
        <v>00086652</v>
      </c>
      <c r="B1631" s="2" t="str">
        <f t="shared" si="61"/>
        <v xml:space="preserve">  </v>
      </c>
      <c r="C1631" s="1" t="s">
        <v>1321</v>
      </c>
      <c r="D1631" s="1" t="s">
        <v>0</v>
      </c>
      <c r="E1631" s="1" t="s">
        <v>12</v>
      </c>
      <c r="F1631" s="2" t="s">
        <v>0</v>
      </c>
      <c r="G1631" s="3">
        <v>13.19</v>
      </c>
    </row>
    <row r="1632" spans="1:7" ht="29.25" x14ac:dyDescent="0.25">
      <c r="A1632" s="2" t="str">
        <f>"00086653"</f>
        <v>00086653</v>
      </c>
      <c r="B1632" s="2" t="str">
        <f t="shared" si="61"/>
        <v xml:space="preserve">  </v>
      </c>
      <c r="C1632" s="1" t="s">
        <v>1322</v>
      </c>
      <c r="D1632" s="1" t="s">
        <v>0</v>
      </c>
      <c r="E1632" s="1" t="s">
        <v>12</v>
      </c>
      <c r="F1632" s="2" t="s">
        <v>0</v>
      </c>
      <c r="G1632" s="3">
        <v>13.19</v>
      </c>
    </row>
    <row r="1633" spans="1:7" ht="29.25" x14ac:dyDescent="0.25">
      <c r="A1633" s="2" t="str">
        <f>"00086654"</f>
        <v>00086654</v>
      </c>
      <c r="B1633" s="2" t="str">
        <f t="shared" si="61"/>
        <v xml:space="preserve">  </v>
      </c>
      <c r="C1633" s="1" t="s">
        <v>1323</v>
      </c>
      <c r="D1633" s="1" t="s">
        <v>0</v>
      </c>
      <c r="E1633" s="1" t="s">
        <v>12</v>
      </c>
      <c r="F1633" s="2" t="s">
        <v>0</v>
      </c>
      <c r="G1633" s="3">
        <v>13.19</v>
      </c>
    </row>
    <row r="1634" spans="1:7" ht="29.25" x14ac:dyDescent="0.25">
      <c r="A1634" s="2" t="str">
        <f>"00086658"</f>
        <v>00086658</v>
      </c>
      <c r="B1634" s="2" t="str">
        <f t="shared" si="61"/>
        <v xml:space="preserve">  </v>
      </c>
      <c r="C1634" s="1" t="s">
        <v>1324</v>
      </c>
      <c r="D1634" s="1" t="s">
        <v>0</v>
      </c>
      <c r="E1634" s="1" t="s">
        <v>12</v>
      </c>
      <c r="F1634" s="2" t="s">
        <v>0</v>
      </c>
      <c r="G1634" s="3">
        <v>13.03</v>
      </c>
    </row>
    <row r="1635" spans="1:7" ht="43.5" x14ac:dyDescent="0.25">
      <c r="A1635" s="2" t="str">
        <f>"00086663"</f>
        <v>00086663</v>
      </c>
      <c r="B1635" s="2" t="str">
        <f t="shared" si="61"/>
        <v xml:space="preserve">  </v>
      </c>
      <c r="C1635" s="1" t="s">
        <v>1325</v>
      </c>
      <c r="D1635" s="1" t="s">
        <v>0</v>
      </c>
      <c r="E1635" s="1" t="s">
        <v>12</v>
      </c>
      <c r="F1635" s="2" t="s">
        <v>0</v>
      </c>
      <c r="G1635" s="3">
        <v>13.12</v>
      </c>
    </row>
    <row r="1636" spans="1:7" ht="43.5" x14ac:dyDescent="0.25">
      <c r="A1636" s="2" t="str">
        <f>"00086664"</f>
        <v>00086664</v>
      </c>
      <c r="B1636" s="2" t="str">
        <f t="shared" si="61"/>
        <v xml:space="preserve">  </v>
      </c>
      <c r="C1636" s="1" t="s">
        <v>1326</v>
      </c>
      <c r="D1636" s="1" t="s">
        <v>0</v>
      </c>
      <c r="E1636" s="1" t="s">
        <v>12</v>
      </c>
      <c r="F1636" s="2" t="s">
        <v>0</v>
      </c>
      <c r="G1636" s="3">
        <v>15.29</v>
      </c>
    </row>
    <row r="1637" spans="1:7" ht="43.5" x14ac:dyDescent="0.25">
      <c r="A1637" s="2" t="str">
        <f>"00086665"</f>
        <v>00086665</v>
      </c>
      <c r="B1637" s="2" t="str">
        <f t="shared" si="61"/>
        <v xml:space="preserve">  </v>
      </c>
      <c r="C1637" s="1" t="s">
        <v>1327</v>
      </c>
      <c r="D1637" s="1" t="s">
        <v>0</v>
      </c>
      <c r="E1637" s="1" t="s">
        <v>12</v>
      </c>
      <c r="F1637" s="2" t="s">
        <v>0</v>
      </c>
      <c r="G1637" s="3">
        <v>18.14</v>
      </c>
    </row>
    <row r="1638" spans="1:7" x14ac:dyDescent="0.25">
      <c r="A1638" s="2" t="str">
        <f>"00086666"</f>
        <v>00086666</v>
      </c>
      <c r="B1638" s="2" t="str">
        <f t="shared" si="61"/>
        <v xml:space="preserve">  </v>
      </c>
      <c r="C1638" s="1" t="s">
        <v>1328</v>
      </c>
      <c r="D1638" s="1" t="s">
        <v>0</v>
      </c>
      <c r="E1638" s="1" t="s">
        <v>12</v>
      </c>
      <c r="F1638" s="2" t="s">
        <v>0</v>
      </c>
      <c r="G1638" s="3">
        <v>10.18</v>
      </c>
    </row>
    <row r="1639" spans="1:7" ht="29.25" x14ac:dyDescent="0.25">
      <c r="A1639" s="2" t="str">
        <f>"00086668"</f>
        <v>00086668</v>
      </c>
      <c r="B1639" s="2" t="str">
        <f t="shared" si="61"/>
        <v xml:space="preserve">  </v>
      </c>
      <c r="C1639" s="1" t="s">
        <v>1329</v>
      </c>
      <c r="D1639" s="1" t="s">
        <v>0</v>
      </c>
      <c r="E1639" s="1" t="s">
        <v>12</v>
      </c>
      <c r="F1639" s="2" t="s">
        <v>0</v>
      </c>
      <c r="G1639" s="3">
        <v>14.16</v>
      </c>
    </row>
    <row r="1640" spans="1:7" ht="29.25" x14ac:dyDescent="0.25">
      <c r="A1640" s="2" t="str">
        <f>"00086671"</f>
        <v>00086671</v>
      </c>
      <c r="B1640" s="2" t="str">
        <f t="shared" si="61"/>
        <v xml:space="preserve">  </v>
      </c>
      <c r="C1640" s="1" t="s">
        <v>1330</v>
      </c>
      <c r="D1640" s="1" t="s">
        <v>0</v>
      </c>
      <c r="E1640" s="1" t="s">
        <v>12</v>
      </c>
      <c r="F1640" s="2" t="s">
        <v>0</v>
      </c>
      <c r="G1640" s="3">
        <v>12.25</v>
      </c>
    </row>
    <row r="1641" spans="1:7" x14ac:dyDescent="0.25">
      <c r="A1641" s="2" t="str">
        <f>"00086674"</f>
        <v>00086674</v>
      </c>
      <c r="B1641" s="2" t="str">
        <f t="shared" si="61"/>
        <v xml:space="preserve">  </v>
      </c>
      <c r="C1641" s="1" t="s">
        <v>1331</v>
      </c>
      <c r="D1641" s="1" t="s">
        <v>0</v>
      </c>
      <c r="E1641" s="1" t="s">
        <v>12</v>
      </c>
      <c r="F1641" s="2" t="s">
        <v>0</v>
      </c>
      <c r="G1641" s="3">
        <v>14.72</v>
      </c>
    </row>
    <row r="1642" spans="1:7" ht="29.25" x14ac:dyDescent="0.25">
      <c r="A1642" s="2" t="str">
        <f>"00086677"</f>
        <v>00086677</v>
      </c>
      <c r="B1642" s="2" t="str">
        <f t="shared" si="61"/>
        <v xml:space="preserve">  </v>
      </c>
      <c r="C1642" s="1" t="s">
        <v>1332</v>
      </c>
      <c r="D1642" s="1" t="s">
        <v>0</v>
      </c>
      <c r="E1642" s="1" t="s">
        <v>12</v>
      </c>
      <c r="F1642" s="2" t="s">
        <v>0</v>
      </c>
      <c r="G1642" s="3">
        <v>16.850000000000001</v>
      </c>
    </row>
    <row r="1643" spans="1:7" ht="29.25" x14ac:dyDescent="0.25">
      <c r="A1643" s="2" t="str">
        <f>"00086682"</f>
        <v>00086682</v>
      </c>
      <c r="B1643" s="2" t="str">
        <f t="shared" si="61"/>
        <v xml:space="preserve">  </v>
      </c>
      <c r="C1643" s="1" t="s">
        <v>1333</v>
      </c>
      <c r="D1643" s="1" t="s">
        <v>0</v>
      </c>
      <c r="E1643" s="1" t="s">
        <v>12</v>
      </c>
      <c r="F1643" s="2" t="s">
        <v>0</v>
      </c>
      <c r="G1643" s="3">
        <v>13.01</v>
      </c>
    </row>
    <row r="1644" spans="1:7" ht="29.25" x14ac:dyDescent="0.25">
      <c r="A1644" s="2" t="str">
        <f>"00086684"</f>
        <v>00086684</v>
      </c>
      <c r="B1644" s="2" t="str">
        <f t="shared" si="61"/>
        <v xml:space="preserve">  </v>
      </c>
      <c r="C1644" s="1" t="s">
        <v>1334</v>
      </c>
      <c r="D1644" s="1" t="s">
        <v>0</v>
      </c>
      <c r="E1644" s="1" t="s">
        <v>12</v>
      </c>
      <c r="F1644" s="2" t="s">
        <v>0</v>
      </c>
      <c r="G1644" s="3">
        <v>15.84</v>
      </c>
    </row>
    <row r="1645" spans="1:7" x14ac:dyDescent="0.25">
      <c r="A1645" s="2" t="str">
        <f>"00086687"</f>
        <v>00086687</v>
      </c>
      <c r="B1645" s="2" t="str">
        <f t="shared" si="61"/>
        <v xml:space="preserve">  </v>
      </c>
      <c r="C1645" s="1" t="s">
        <v>1335</v>
      </c>
      <c r="D1645" s="1" t="s">
        <v>0</v>
      </c>
      <c r="E1645" s="1" t="s">
        <v>12</v>
      </c>
      <c r="F1645" s="2" t="s">
        <v>0</v>
      </c>
      <c r="G1645" s="3">
        <v>9.09</v>
      </c>
    </row>
    <row r="1646" spans="1:7" x14ac:dyDescent="0.25">
      <c r="A1646" s="2" t="str">
        <f>"00086688"</f>
        <v>00086688</v>
      </c>
      <c r="B1646" s="2" t="str">
        <f t="shared" si="61"/>
        <v xml:space="preserve">  </v>
      </c>
      <c r="C1646" s="1" t="s">
        <v>1336</v>
      </c>
      <c r="D1646" s="1" t="s">
        <v>0</v>
      </c>
      <c r="E1646" s="1" t="s">
        <v>12</v>
      </c>
      <c r="F1646" s="2" t="s">
        <v>0</v>
      </c>
      <c r="G1646" s="3">
        <v>14</v>
      </c>
    </row>
    <row r="1647" spans="1:7" ht="86.25" x14ac:dyDescent="0.25">
      <c r="A1647" s="2" t="str">
        <f>"00086689"</f>
        <v>00086689</v>
      </c>
      <c r="B1647" s="2" t="str">
        <f t="shared" si="61"/>
        <v xml:space="preserve">  </v>
      </c>
      <c r="C1647" s="1" t="s">
        <v>1337</v>
      </c>
      <c r="D1647" s="1" t="s">
        <v>0</v>
      </c>
      <c r="E1647" s="1" t="s">
        <v>12</v>
      </c>
      <c r="F1647" s="2" t="s">
        <v>0</v>
      </c>
      <c r="G1647" s="3">
        <v>19.350000000000001</v>
      </c>
    </row>
    <row r="1648" spans="1:7" ht="29.25" x14ac:dyDescent="0.25">
      <c r="A1648" s="2" t="str">
        <f>"00086692"</f>
        <v>00086692</v>
      </c>
      <c r="B1648" s="2" t="str">
        <f t="shared" si="61"/>
        <v xml:space="preserve">  </v>
      </c>
      <c r="C1648" s="1" t="s">
        <v>1338</v>
      </c>
      <c r="D1648" s="1" t="s">
        <v>0</v>
      </c>
      <c r="E1648" s="1" t="s">
        <v>12</v>
      </c>
      <c r="F1648" s="2" t="s">
        <v>0</v>
      </c>
      <c r="G1648" s="3">
        <v>17.16</v>
      </c>
    </row>
    <row r="1649" spans="1:7" ht="43.5" x14ac:dyDescent="0.25">
      <c r="A1649" s="2" t="str">
        <f>"00086694"</f>
        <v>00086694</v>
      </c>
      <c r="B1649" s="2" t="str">
        <f t="shared" si="61"/>
        <v xml:space="preserve">  </v>
      </c>
      <c r="C1649" s="1" t="s">
        <v>1339</v>
      </c>
      <c r="D1649" s="1" t="s">
        <v>0</v>
      </c>
      <c r="E1649" s="1" t="s">
        <v>12</v>
      </c>
      <c r="F1649" s="2" t="s">
        <v>0</v>
      </c>
      <c r="G1649" s="3">
        <v>14.39</v>
      </c>
    </row>
    <row r="1650" spans="1:7" ht="29.25" x14ac:dyDescent="0.25">
      <c r="A1650" s="2" t="str">
        <f>"00086695"</f>
        <v>00086695</v>
      </c>
      <c r="B1650" s="2" t="str">
        <f t="shared" si="61"/>
        <v xml:space="preserve">  </v>
      </c>
      <c r="C1650" s="1" t="s">
        <v>1340</v>
      </c>
      <c r="D1650" s="1" t="s">
        <v>0</v>
      </c>
      <c r="E1650" s="1" t="s">
        <v>12</v>
      </c>
      <c r="F1650" s="2" t="s">
        <v>0</v>
      </c>
      <c r="G1650" s="3">
        <v>13.19</v>
      </c>
    </row>
    <row r="1651" spans="1:7" ht="29.25" x14ac:dyDescent="0.25">
      <c r="A1651" s="2" t="str">
        <f>"00086696"</f>
        <v>00086696</v>
      </c>
      <c r="B1651" s="2" t="str">
        <f t="shared" si="61"/>
        <v xml:space="preserve">  </v>
      </c>
      <c r="C1651" s="1" t="s">
        <v>1341</v>
      </c>
      <c r="D1651" s="1" t="s">
        <v>0</v>
      </c>
      <c r="E1651" s="1" t="s">
        <v>12</v>
      </c>
      <c r="F1651" s="2" t="s">
        <v>0</v>
      </c>
      <c r="G1651" s="3">
        <v>19.350000000000001</v>
      </c>
    </row>
    <row r="1652" spans="1:7" x14ac:dyDescent="0.25">
      <c r="A1652" s="2" t="str">
        <f>"00086698"</f>
        <v>00086698</v>
      </c>
      <c r="B1652" s="2" t="str">
        <f t="shared" si="61"/>
        <v xml:space="preserve">  </v>
      </c>
      <c r="C1652" s="1" t="s">
        <v>1342</v>
      </c>
      <c r="D1652" s="1" t="s">
        <v>0</v>
      </c>
      <c r="E1652" s="1" t="s">
        <v>12</v>
      </c>
      <c r="F1652" s="2" t="s">
        <v>0</v>
      </c>
      <c r="G1652" s="3">
        <v>13.79</v>
      </c>
    </row>
    <row r="1653" spans="1:7" x14ac:dyDescent="0.25">
      <c r="A1653" s="2" t="str">
        <f>"00086701"</f>
        <v>00086701</v>
      </c>
      <c r="B1653" s="2" t="str">
        <f t="shared" si="61"/>
        <v xml:space="preserve">  </v>
      </c>
      <c r="C1653" s="1" t="s">
        <v>1343</v>
      </c>
      <c r="D1653" s="1" t="s">
        <v>0</v>
      </c>
      <c r="E1653" s="1" t="s">
        <v>12</v>
      </c>
      <c r="F1653" s="2" t="s">
        <v>0</v>
      </c>
      <c r="G1653" s="3">
        <v>8.89</v>
      </c>
    </row>
    <row r="1654" spans="1:7" ht="29.25" x14ac:dyDescent="0.25">
      <c r="A1654" s="2" t="str">
        <f>"00086701"</f>
        <v>00086701</v>
      </c>
      <c r="B1654" s="2" t="str">
        <f>"QW"</f>
        <v>QW</v>
      </c>
      <c r="C1654" s="1" t="s">
        <v>1344</v>
      </c>
      <c r="D1654" s="1" t="s">
        <v>0</v>
      </c>
      <c r="E1654" s="1" t="s">
        <v>12</v>
      </c>
      <c r="F1654" s="2" t="s">
        <v>0</v>
      </c>
      <c r="G1654" s="3">
        <v>8.89</v>
      </c>
    </row>
    <row r="1655" spans="1:7" x14ac:dyDescent="0.25">
      <c r="A1655" s="2" t="str">
        <f>"00086702"</f>
        <v>00086702</v>
      </c>
      <c r="B1655" s="2" t="str">
        <f t="shared" ref="B1655:B1689" si="62">"  "</f>
        <v xml:space="preserve">  </v>
      </c>
      <c r="C1655" s="1" t="s">
        <v>1345</v>
      </c>
      <c r="D1655" s="1" t="s">
        <v>0</v>
      </c>
      <c r="E1655" s="1" t="s">
        <v>12</v>
      </c>
      <c r="F1655" s="2" t="s">
        <v>0</v>
      </c>
      <c r="G1655" s="3">
        <v>13.52</v>
      </c>
    </row>
    <row r="1656" spans="1:7" ht="29.25" x14ac:dyDescent="0.25">
      <c r="A1656" s="2" t="str">
        <f>"00086703"</f>
        <v>00086703</v>
      </c>
      <c r="B1656" s="2" t="str">
        <f t="shared" si="62"/>
        <v xml:space="preserve">  </v>
      </c>
      <c r="C1656" s="1" t="s">
        <v>1346</v>
      </c>
      <c r="D1656" s="1" t="s">
        <v>0</v>
      </c>
      <c r="E1656" s="1" t="s">
        <v>12</v>
      </c>
      <c r="F1656" s="2" t="s">
        <v>0</v>
      </c>
      <c r="G1656" s="3">
        <v>13.71</v>
      </c>
    </row>
    <row r="1657" spans="1:7" ht="29.25" x14ac:dyDescent="0.25">
      <c r="A1657" s="2" t="str">
        <f>"00086704"</f>
        <v>00086704</v>
      </c>
      <c r="B1657" s="2" t="str">
        <f t="shared" si="62"/>
        <v xml:space="preserve">  </v>
      </c>
      <c r="C1657" s="1" t="s">
        <v>1347</v>
      </c>
      <c r="D1657" s="1" t="s">
        <v>0</v>
      </c>
      <c r="E1657" s="1" t="s">
        <v>12</v>
      </c>
      <c r="F1657" s="2" t="s">
        <v>0</v>
      </c>
      <c r="G1657" s="3">
        <v>12.05</v>
      </c>
    </row>
    <row r="1658" spans="1:7" ht="29.25" x14ac:dyDescent="0.25">
      <c r="A1658" s="2" t="str">
        <f>"00086705"</f>
        <v>00086705</v>
      </c>
      <c r="B1658" s="2" t="str">
        <f t="shared" si="62"/>
        <v xml:space="preserve">  </v>
      </c>
      <c r="C1658" s="1" t="s">
        <v>1348</v>
      </c>
      <c r="D1658" s="1" t="s">
        <v>0</v>
      </c>
      <c r="E1658" s="1" t="s">
        <v>12</v>
      </c>
      <c r="F1658" s="2" t="s">
        <v>0</v>
      </c>
      <c r="G1658" s="3">
        <v>11.77</v>
      </c>
    </row>
    <row r="1659" spans="1:7" ht="43.5" x14ac:dyDescent="0.25">
      <c r="A1659" s="2" t="str">
        <f>"00086706"</f>
        <v>00086706</v>
      </c>
      <c r="B1659" s="2" t="str">
        <f t="shared" si="62"/>
        <v xml:space="preserve">  </v>
      </c>
      <c r="C1659" s="1" t="s">
        <v>1349</v>
      </c>
      <c r="D1659" s="1" t="s">
        <v>0</v>
      </c>
      <c r="E1659" s="1" t="s">
        <v>12</v>
      </c>
      <c r="F1659" s="2" t="s">
        <v>0</v>
      </c>
      <c r="G1659" s="3">
        <v>10.74</v>
      </c>
    </row>
    <row r="1660" spans="1:7" ht="29.25" x14ac:dyDescent="0.25">
      <c r="A1660" s="2" t="str">
        <f>"00086707"</f>
        <v>00086707</v>
      </c>
      <c r="B1660" s="2" t="str">
        <f t="shared" si="62"/>
        <v xml:space="preserve">  </v>
      </c>
      <c r="C1660" s="1" t="s">
        <v>1350</v>
      </c>
      <c r="D1660" s="1" t="s">
        <v>0</v>
      </c>
      <c r="E1660" s="1" t="s">
        <v>12</v>
      </c>
      <c r="F1660" s="2" t="s">
        <v>0</v>
      </c>
      <c r="G1660" s="3">
        <v>11.57</v>
      </c>
    </row>
    <row r="1661" spans="1:7" ht="29.25" x14ac:dyDescent="0.25">
      <c r="A1661" s="2" t="str">
        <f>"00086708"</f>
        <v>00086708</v>
      </c>
      <c r="B1661" s="2" t="str">
        <f t="shared" si="62"/>
        <v xml:space="preserve">  </v>
      </c>
      <c r="C1661" s="1" t="s">
        <v>1351</v>
      </c>
      <c r="D1661" s="1" t="s">
        <v>0</v>
      </c>
      <c r="E1661" s="1" t="s">
        <v>12</v>
      </c>
      <c r="F1661" s="2" t="s">
        <v>0</v>
      </c>
      <c r="G1661" s="3">
        <v>12.39</v>
      </c>
    </row>
    <row r="1662" spans="1:7" ht="57.75" x14ac:dyDescent="0.25">
      <c r="A1662" s="2" t="str">
        <f>"00086709"</f>
        <v>00086709</v>
      </c>
      <c r="B1662" s="2" t="str">
        <f t="shared" si="62"/>
        <v xml:space="preserve">  </v>
      </c>
      <c r="C1662" s="1" t="s">
        <v>1352</v>
      </c>
      <c r="D1662" s="1" t="s">
        <v>0</v>
      </c>
      <c r="E1662" s="1" t="s">
        <v>12</v>
      </c>
      <c r="F1662" s="2" t="s">
        <v>0</v>
      </c>
      <c r="G1662" s="3">
        <v>11.26</v>
      </c>
    </row>
    <row r="1663" spans="1:7" x14ac:dyDescent="0.25">
      <c r="A1663" s="2" t="str">
        <f>"00086710"</f>
        <v>00086710</v>
      </c>
      <c r="B1663" s="2" t="str">
        <f t="shared" si="62"/>
        <v xml:space="preserve">  </v>
      </c>
      <c r="C1663" s="1" t="s">
        <v>1353</v>
      </c>
      <c r="D1663" s="1" t="s">
        <v>0</v>
      </c>
      <c r="E1663" s="1" t="s">
        <v>12</v>
      </c>
      <c r="F1663" s="2" t="s">
        <v>0</v>
      </c>
      <c r="G1663" s="3">
        <v>13.55</v>
      </c>
    </row>
    <row r="1664" spans="1:7" ht="43.5" x14ac:dyDescent="0.25">
      <c r="A1664" s="2" t="str">
        <f>"00086711"</f>
        <v>00086711</v>
      </c>
      <c r="B1664" s="2" t="str">
        <f t="shared" si="62"/>
        <v xml:space="preserve">  </v>
      </c>
      <c r="C1664" s="1" t="s">
        <v>1354</v>
      </c>
      <c r="D1664" s="1" t="s">
        <v>0</v>
      </c>
      <c r="E1664" s="1" t="s">
        <v>12</v>
      </c>
      <c r="F1664" s="2" t="s">
        <v>0</v>
      </c>
      <c r="G1664" s="3">
        <v>16.89</v>
      </c>
    </row>
    <row r="1665" spans="1:7" x14ac:dyDescent="0.25">
      <c r="A1665" s="2" t="str">
        <f>"00086713"</f>
        <v>00086713</v>
      </c>
      <c r="B1665" s="2" t="str">
        <f t="shared" si="62"/>
        <v xml:space="preserve">  </v>
      </c>
      <c r="C1665" s="1" t="s">
        <v>1355</v>
      </c>
      <c r="D1665" s="1" t="s">
        <v>0</v>
      </c>
      <c r="E1665" s="1" t="s">
        <v>12</v>
      </c>
      <c r="F1665" s="2" t="s">
        <v>0</v>
      </c>
      <c r="G1665" s="3">
        <v>15.3</v>
      </c>
    </row>
    <row r="1666" spans="1:7" x14ac:dyDescent="0.25">
      <c r="A1666" s="2" t="str">
        <f>"00086717"</f>
        <v>00086717</v>
      </c>
      <c r="B1666" s="2" t="str">
        <f t="shared" si="62"/>
        <v xml:space="preserve">  </v>
      </c>
      <c r="C1666" s="1" t="s">
        <v>1356</v>
      </c>
      <c r="D1666" s="1" t="s">
        <v>0</v>
      </c>
      <c r="E1666" s="1" t="s">
        <v>12</v>
      </c>
      <c r="F1666" s="2" t="s">
        <v>0</v>
      </c>
      <c r="G1666" s="3">
        <v>12.25</v>
      </c>
    </row>
    <row r="1667" spans="1:7" x14ac:dyDescent="0.25">
      <c r="A1667" s="2" t="str">
        <f>"00086720"</f>
        <v>00086720</v>
      </c>
      <c r="B1667" s="2" t="str">
        <f t="shared" si="62"/>
        <v xml:space="preserve">  </v>
      </c>
      <c r="C1667" s="1" t="s">
        <v>1357</v>
      </c>
      <c r="D1667" s="1" t="s">
        <v>0</v>
      </c>
      <c r="E1667" s="1" t="s">
        <v>12</v>
      </c>
      <c r="F1667" s="2" t="s">
        <v>0</v>
      </c>
      <c r="G1667" s="3">
        <v>16.2</v>
      </c>
    </row>
    <row r="1668" spans="1:7" ht="29.25" x14ac:dyDescent="0.25">
      <c r="A1668" s="2" t="str">
        <f>"00086723"</f>
        <v>00086723</v>
      </c>
      <c r="B1668" s="2" t="str">
        <f t="shared" si="62"/>
        <v xml:space="preserve">  </v>
      </c>
      <c r="C1668" s="1" t="s">
        <v>1358</v>
      </c>
      <c r="D1668" s="1" t="s">
        <v>0</v>
      </c>
      <c r="E1668" s="1" t="s">
        <v>12</v>
      </c>
      <c r="F1668" s="2" t="s">
        <v>0</v>
      </c>
      <c r="G1668" s="3">
        <v>13.19</v>
      </c>
    </row>
    <row r="1669" spans="1:7" ht="29.25" x14ac:dyDescent="0.25">
      <c r="A1669" s="2" t="str">
        <f>"00086727"</f>
        <v>00086727</v>
      </c>
      <c r="B1669" s="2" t="str">
        <f t="shared" si="62"/>
        <v xml:space="preserve">  </v>
      </c>
      <c r="C1669" s="1" t="s">
        <v>1359</v>
      </c>
      <c r="D1669" s="1" t="s">
        <v>0</v>
      </c>
      <c r="E1669" s="1" t="s">
        <v>12</v>
      </c>
      <c r="F1669" s="2" t="s">
        <v>0</v>
      </c>
      <c r="G1669" s="3">
        <v>12.87</v>
      </c>
    </row>
    <row r="1670" spans="1:7" x14ac:dyDescent="0.25">
      <c r="A1670" s="2" t="str">
        <f>"00086732"</f>
        <v>00086732</v>
      </c>
      <c r="B1670" s="2" t="str">
        <f t="shared" si="62"/>
        <v xml:space="preserve">  </v>
      </c>
      <c r="C1670" s="1" t="s">
        <v>1360</v>
      </c>
      <c r="D1670" s="1" t="s">
        <v>0</v>
      </c>
      <c r="E1670" s="1" t="s">
        <v>12</v>
      </c>
      <c r="F1670" s="2" t="s">
        <v>0</v>
      </c>
      <c r="G1670" s="3">
        <v>15</v>
      </c>
    </row>
    <row r="1671" spans="1:7" x14ac:dyDescent="0.25">
      <c r="A1671" s="2" t="str">
        <f>"00086735"</f>
        <v>00086735</v>
      </c>
      <c r="B1671" s="2" t="str">
        <f t="shared" si="62"/>
        <v xml:space="preserve">  </v>
      </c>
      <c r="C1671" s="1" t="s">
        <v>1361</v>
      </c>
      <c r="D1671" s="1" t="s">
        <v>0</v>
      </c>
      <c r="E1671" s="1" t="s">
        <v>12</v>
      </c>
      <c r="F1671" s="2" t="s">
        <v>0</v>
      </c>
      <c r="G1671" s="3">
        <v>13.05</v>
      </c>
    </row>
    <row r="1672" spans="1:7" x14ac:dyDescent="0.25">
      <c r="A1672" s="2" t="str">
        <f>"00086738"</f>
        <v>00086738</v>
      </c>
      <c r="B1672" s="2" t="str">
        <f t="shared" si="62"/>
        <v xml:space="preserve">  </v>
      </c>
      <c r="C1672" s="1" t="s">
        <v>1362</v>
      </c>
      <c r="D1672" s="1" t="s">
        <v>0</v>
      </c>
      <c r="E1672" s="1" t="s">
        <v>12</v>
      </c>
      <c r="F1672" s="2" t="s">
        <v>0</v>
      </c>
      <c r="G1672" s="3">
        <v>13.24</v>
      </c>
    </row>
    <row r="1673" spans="1:7" ht="29.25" x14ac:dyDescent="0.25">
      <c r="A1673" s="2" t="str">
        <f>"00086741"</f>
        <v>00086741</v>
      </c>
      <c r="B1673" s="2" t="str">
        <f t="shared" si="62"/>
        <v xml:space="preserve">  </v>
      </c>
      <c r="C1673" s="1" t="s">
        <v>1363</v>
      </c>
      <c r="D1673" s="1" t="s">
        <v>0</v>
      </c>
      <c r="E1673" s="1" t="s">
        <v>12</v>
      </c>
      <c r="F1673" s="2" t="s">
        <v>0</v>
      </c>
      <c r="G1673" s="3">
        <v>13.19</v>
      </c>
    </row>
    <row r="1674" spans="1:7" x14ac:dyDescent="0.25">
      <c r="A1674" s="2" t="str">
        <f>"00086744"</f>
        <v>00086744</v>
      </c>
      <c r="B1674" s="2" t="str">
        <f t="shared" si="62"/>
        <v xml:space="preserve">  </v>
      </c>
      <c r="C1674" s="1" t="s">
        <v>1364</v>
      </c>
      <c r="D1674" s="1" t="s">
        <v>0</v>
      </c>
      <c r="E1674" s="1" t="s">
        <v>12</v>
      </c>
      <c r="F1674" s="2" t="s">
        <v>0</v>
      </c>
      <c r="G1674" s="3">
        <v>15.99</v>
      </c>
    </row>
    <row r="1675" spans="1:7" x14ac:dyDescent="0.25">
      <c r="A1675" s="2" t="str">
        <f>"00086747"</f>
        <v>00086747</v>
      </c>
      <c r="B1675" s="2" t="str">
        <f t="shared" si="62"/>
        <v xml:space="preserve">  </v>
      </c>
      <c r="C1675" s="1" t="s">
        <v>1365</v>
      </c>
      <c r="D1675" s="1" t="s">
        <v>0</v>
      </c>
      <c r="E1675" s="1" t="s">
        <v>12</v>
      </c>
      <c r="F1675" s="2" t="s">
        <v>0</v>
      </c>
      <c r="G1675" s="3">
        <v>15.03</v>
      </c>
    </row>
    <row r="1676" spans="1:7" ht="29.25" x14ac:dyDescent="0.25">
      <c r="A1676" s="2" t="str">
        <f>"00086750"</f>
        <v>00086750</v>
      </c>
      <c r="B1676" s="2" t="str">
        <f t="shared" si="62"/>
        <v xml:space="preserve">  </v>
      </c>
      <c r="C1676" s="1" t="s">
        <v>1366</v>
      </c>
      <c r="D1676" s="1" t="s">
        <v>0</v>
      </c>
      <c r="E1676" s="1" t="s">
        <v>12</v>
      </c>
      <c r="F1676" s="2" t="s">
        <v>0</v>
      </c>
      <c r="G1676" s="3">
        <v>13.19</v>
      </c>
    </row>
    <row r="1677" spans="1:7" ht="29.25" x14ac:dyDescent="0.25">
      <c r="A1677" s="2" t="str">
        <f>"00086753"</f>
        <v>00086753</v>
      </c>
      <c r="B1677" s="2" t="str">
        <f t="shared" si="62"/>
        <v xml:space="preserve">  </v>
      </c>
      <c r="C1677" s="1" t="s">
        <v>1367</v>
      </c>
      <c r="D1677" s="1" t="s">
        <v>0</v>
      </c>
      <c r="E1677" s="1" t="s">
        <v>12</v>
      </c>
      <c r="F1677" s="2" t="s">
        <v>0</v>
      </c>
      <c r="G1677" s="3">
        <v>12.39</v>
      </c>
    </row>
    <row r="1678" spans="1:7" ht="29.25" x14ac:dyDescent="0.25">
      <c r="A1678" s="2" t="str">
        <f>"00086756"</f>
        <v>00086756</v>
      </c>
      <c r="B1678" s="2" t="str">
        <f t="shared" si="62"/>
        <v xml:space="preserve">  </v>
      </c>
      <c r="C1678" s="1" t="s">
        <v>1368</v>
      </c>
      <c r="D1678" s="1" t="s">
        <v>0</v>
      </c>
      <c r="E1678" s="1" t="s">
        <v>12</v>
      </c>
      <c r="F1678" s="2" t="s">
        <v>0</v>
      </c>
      <c r="G1678" s="3">
        <v>15.89</v>
      </c>
    </row>
    <row r="1679" spans="1:7" x14ac:dyDescent="0.25">
      <c r="A1679" s="2" t="str">
        <f>"00086757"</f>
        <v>00086757</v>
      </c>
      <c r="B1679" s="2" t="str">
        <f t="shared" si="62"/>
        <v xml:space="preserve">  </v>
      </c>
      <c r="C1679" s="1" t="s">
        <v>1369</v>
      </c>
      <c r="D1679" s="1" t="s">
        <v>0</v>
      </c>
      <c r="E1679" s="1" t="s">
        <v>12</v>
      </c>
      <c r="F1679" s="2" t="s">
        <v>0</v>
      </c>
      <c r="G1679" s="3">
        <v>19.350000000000001</v>
      </c>
    </row>
    <row r="1680" spans="1:7" x14ac:dyDescent="0.25">
      <c r="A1680" s="2" t="str">
        <f>"00086759"</f>
        <v>00086759</v>
      </c>
      <c r="B1680" s="2" t="str">
        <f t="shared" si="62"/>
        <v xml:space="preserve">  </v>
      </c>
      <c r="C1680" s="1" t="s">
        <v>1370</v>
      </c>
      <c r="D1680" s="1" t="s">
        <v>0</v>
      </c>
      <c r="E1680" s="1" t="s">
        <v>12</v>
      </c>
      <c r="F1680" s="2" t="s">
        <v>0</v>
      </c>
      <c r="G1680" s="3">
        <v>18.23</v>
      </c>
    </row>
    <row r="1681" spans="1:7" ht="43.5" x14ac:dyDescent="0.25">
      <c r="A1681" s="2" t="str">
        <f>"00086762"</f>
        <v>00086762</v>
      </c>
      <c r="B1681" s="2" t="str">
        <f t="shared" si="62"/>
        <v xml:space="preserve">  </v>
      </c>
      <c r="C1681" s="1" t="s">
        <v>1371</v>
      </c>
      <c r="D1681" s="1" t="s">
        <v>0</v>
      </c>
      <c r="E1681" s="1" t="s">
        <v>12</v>
      </c>
      <c r="F1681" s="2" t="s">
        <v>0</v>
      </c>
      <c r="G1681" s="3">
        <v>14.39</v>
      </c>
    </row>
    <row r="1682" spans="1:7" x14ac:dyDescent="0.25">
      <c r="A1682" s="2" t="str">
        <f>"00086765"</f>
        <v>00086765</v>
      </c>
      <c r="B1682" s="2" t="str">
        <f t="shared" si="62"/>
        <v xml:space="preserve">  </v>
      </c>
      <c r="C1682" s="1" t="s">
        <v>1372</v>
      </c>
      <c r="D1682" s="1" t="s">
        <v>0</v>
      </c>
      <c r="E1682" s="1" t="s">
        <v>12</v>
      </c>
      <c r="F1682" s="2" t="s">
        <v>0</v>
      </c>
      <c r="G1682" s="3">
        <v>12.88</v>
      </c>
    </row>
    <row r="1683" spans="1:7" x14ac:dyDescent="0.25">
      <c r="A1683" s="2" t="str">
        <f>"00086768"</f>
        <v>00086768</v>
      </c>
      <c r="B1683" s="2" t="str">
        <f t="shared" si="62"/>
        <v xml:space="preserve">  </v>
      </c>
      <c r="C1683" s="1" t="s">
        <v>1373</v>
      </c>
      <c r="D1683" s="1" t="s">
        <v>0</v>
      </c>
      <c r="E1683" s="1" t="s">
        <v>12</v>
      </c>
      <c r="F1683" s="2" t="s">
        <v>0</v>
      </c>
      <c r="G1683" s="3">
        <v>13.19</v>
      </c>
    </row>
    <row r="1684" spans="1:7" ht="57.75" x14ac:dyDescent="0.25">
      <c r="A1684" s="2" t="str">
        <f>"00086769"</f>
        <v>00086769</v>
      </c>
      <c r="B1684" s="2" t="str">
        <f t="shared" si="62"/>
        <v xml:space="preserve">  </v>
      </c>
      <c r="C1684" s="1" t="s">
        <v>1772</v>
      </c>
      <c r="D1684" s="1" t="s">
        <v>0</v>
      </c>
      <c r="E1684" s="1" t="s">
        <v>12</v>
      </c>
      <c r="F1684" s="2" t="s">
        <v>0</v>
      </c>
      <c r="G1684" s="3">
        <v>42.13</v>
      </c>
    </row>
    <row r="1685" spans="1:7" x14ac:dyDescent="0.25">
      <c r="A1685" s="2" t="str">
        <f>"00086771"</f>
        <v>00086771</v>
      </c>
      <c r="B1685" s="2" t="str">
        <f t="shared" si="62"/>
        <v xml:space="preserve">  </v>
      </c>
      <c r="C1685" s="1" t="s">
        <v>1374</v>
      </c>
      <c r="D1685" s="1" t="s">
        <v>0</v>
      </c>
      <c r="E1685" s="1" t="s">
        <v>12</v>
      </c>
      <c r="F1685" s="2" t="s">
        <v>0</v>
      </c>
      <c r="G1685" s="3">
        <v>24.48</v>
      </c>
    </row>
    <row r="1686" spans="1:7" x14ac:dyDescent="0.25">
      <c r="A1686" s="2" t="str">
        <f>"00086774"</f>
        <v>00086774</v>
      </c>
      <c r="B1686" s="2" t="str">
        <f t="shared" si="62"/>
        <v xml:space="preserve">  </v>
      </c>
      <c r="C1686" s="1" t="s">
        <v>1375</v>
      </c>
      <c r="D1686" s="1" t="s">
        <v>0</v>
      </c>
      <c r="E1686" s="1" t="s">
        <v>12</v>
      </c>
      <c r="F1686" s="2" t="s">
        <v>0</v>
      </c>
      <c r="G1686" s="3">
        <v>14.8</v>
      </c>
    </row>
    <row r="1687" spans="1:7" x14ac:dyDescent="0.25">
      <c r="A1687" s="2" t="str">
        <f>"00086777"</f>
        <v>00086777</v>
      </c>
      <c r="B1687" s="2" t="str">
        <f t="shared" si="62"/>
        <v xml:space="preserve">  </v>
      </c>
      <c r="C1687" s="1" t="s">
        <v>1376</v>
      </c>
      <c r="D1687" s="1" t="s">
        <v>0</v>
      </c>
      <c r="E1687" s="1" t="s">
        <v>12</v>
      </c>
      <c r="F1687" s="2" t="s">
        <v>0</v>
      </c>
      <c r="G1687" s="3">
        <v>14.39</v>
      </c>
    </row>
    <row r="1688" spans="1:7" ht="29.25" x14ac:dyDescent="0.25">
      <c r="A1688" s="2" t="str">
        <f>"00086778"</f>
        <v>00086778</v>
      </c>
      <c r="B1688" s="2" t="str">
        <f t="shared" si="62"/>
        <v xml:space="preserve">  </v>
      </c>
      <c r="C1688" s="1" t="s">
        <v>1377</v>
      </c>
      <c r="D1688" s="1" t="s">
        <v>0</v>
      </c>
      <c r="E1688" s="1" t="s">
        <v>12</v>
      </c>
      <c r="F1688" s="2" t="s">
        <v>0</v>
      </c>
      <c r="G1688" s="3">
        <v>14.41</v>
      </c>
    </row>
    <row r="1689" spans="1:7" ht="29.25" x14ac:dyDescent="0.25">
      <c r="A1689" s="2" t="str">
        <f>"00086780"</f>
        <v>00086780</v>
      </c>
      <c r="B1689" s="2" t="str">
        <f t="shared" si="62"/>
        <v xml:space="preserve">  </v>
      </c>
      <c r="C1689" s="1" t="s">
        <v>1378</v>
      </c>
      <c r="D1689" s="1" t="s">
        <v>0</v>
      </c>
      <c r="E1689" s="1" t="s">
        <v>12</v>
      </c>
      <c r="F1689" s="2" t="s">
        <v>0</v>
      </c>
      <c r="G1689" s="3">
        <v>13.24</v>
      </c>
    </row>
    <row r="1690" spans="1:7" ht="29.25" x14ac:dyDescent="0.25">
      <c r="A1690" s="2" t="str">
        <f>"00086780"</f>
        <v>00086780</v>
      </c>
      <c r="B1690" s="2" t="str">
        <f>"QW"</f>
        <v>QW</v>
      </c>
      <c r="C1690" s="1" t="s">
        <v>1379</v>
      </c>
      <c r="D1690" s="1" t="s">
        <v>0</v>
      </c>
      <c r="E1690" s="1" t="s">
        <v>12</v>
      </c>
      <c r="F1690" s="2" t="s">
        <v>0</v>
      </c>
      <c r="G1690" s="3">
        <v>13.24</v>
      </c>
    </row>
    <row r="1691" spans="1:7" x14ac:dyDescent="0.25">
      <c r="A1691" s="2" t="str">
        <f>"00086784"</f>
        <v>00086784</v>
      </c>
      <c r="B1691" s="2" t="str">
        <f t="shared" ref="B1691:B1697" si="63">"  "</f>
        <v xml:space="preserve">  </v>
      </c>
      <c r="C1691" s="1" t="s">
        <v>1380</v>
      </c>
      <c r="D1691" s="1" t="s">
        <v>0</v>
      </c>
      <c r="E1691" s="1" t="s">
        <v>12</v>
      </c>
      <c r="F1691" s="2" t="s">
        <v>0</v>
      </c>
      <c r="G1691" s="3">
        <v>12.56</v>
      </c>
    </row>
    <row r="1692" spans="1:7" ht="29.25" x14ac:dyDescent="0.25">
      <c r="A1692" s="2" t="str">
        <f>"00086787"</f>
        <v>00086787</v>
      </c>
      <c r="B1692" s="2" t="str">
        <f t="shared" si="63"/>
        <v xml:space="preserve">  </v>
      </c>
      <c r="C1692" s="1" t="s">
        <v>1381</v>
      </c>
      <c r="D1692" s="1" t="s">
        <v>0</v>
      </c>
      <c r="E1692" s="1" t="s">
        <v>12</v>
      </c>
      <c r="F1692" s="2" t="s">
        <v>0</v>
      </c>
      <c r="G1692" s="3">
        <v>12.88</v>
      </c>
    </row>
    <row r="1693" spans="1:7" ht="29.25" x14ac:dyDescent="0.25">
      <c r="A1693" s="2" t="str">
        <f>"00086788"</f>
        <v>00086788</v>
      </c>
      <c r="B1693" s="2" t="str">
        <f t="shared" si="63"/>
        <v xml:space="preserve">  </v>
      </c>
      <c r="C1693" s="1" t="s">
        <v>1382</v>
      </c>
      <c r="D1693" s="1" t="s">
        <v>0</v>
      </c>
      <c r="E1693" s="1" t="s">
        <v>12</v>
      </c>
      <c r="F1693" s="2" t="s">
        <v>0</v>
      </c>
      <c r="G1693" s="3">
        <v>16.850000000000001</v>
      </c>
    </row>
    <row r="1694" spans="1:7" ht="29.25" x14ac:dyDescent="0.25">
      <c r="A1694" s="2" t="str">
        <f>"00086789"</f>
        <v>00086789</v>
      </c>
      <c r="B1694" s="2" t="str">
        <f t="shared" si="63"/>
        <v xml:space="preserve">  </v>
      </c>
      <c r="C1694" s="1" t="s">
        <v>1383</v>
      </c>
      <c r="D1694" s="1" t="s">
        <v>0</v>
      </c>
      <c r="E1694" s="1" t="s">
        <v>12</v>
      </c>
      <c r="F1694" s="2" t="s">
        <v>0</v>
      </c>
      <c r="G1694" s="3">
        <v>14.39</v>
      </c>
    </row>
    <row r="1695" spans="1:7" ht="29.25" x14ac:dyDescent="0.25">
      <c r="A1695" s="2" t="str">
        <f>"00086790"</f>
        <v>00086790</v>
      </c>
      <c r="B1695" s="2" t="str">
        <f t="shared" si="63"/>
        <v xml:space="preserve">  </v>
      </c>
      <c r="C1695" s="1" t="s">
        <v>1384</v>
      </c>
      <c r="D1695" s="1" t="s">
        <v>0</v>
      </c>
      <c r="E1695" s="1" t="s">
        <v>12</v>
      </c>
      <c r="F1695" s="2" t="s">
        <v>0</v>
      </c>
      <c r="G1695" s="3">
        <v>12.88</v>
      </c>
    </row>
    <row r="1696" spans="1:7" x14ac:dyDescent="0.25">
      <c r="A1696" s="2" t="str">
        <f>"00086793"</f>
        <v>00086793</v>
      </c>
      <c r="B1696" s="2" t="str">
        <f t="shared" si="63"/>
        <v xml:space="preserve">  </v>
      </c>
      <c r="C1696" s="1" t="s">
        <v>1385</v>
      </c>
      <c r="D1696" s="1" t="s">
        <v>0</v>
      </c>
      <c r="E1696" s="1" t="s">
        <v>12</v>
      </c>
      <c r="F1696" s="2" t="s">
        <v>0</v>
      </c>
      <c r="G1696" s="3">
        <v>13.19</v>
      </c>
    </row>
    <row r="1697" spans="1:7" ht="29.25" x14ac:dyDescent="0.25">
      <c r="A1697" s="2" t="str">
        <f>"00086794"</f>
        <v>00086794</v>
      </c>
      <c r="B1697" s="2" t="str">
        <f t="shared" si="63"/>
        <v xml:space="preserve">  </v>
      </c>
      <c r="C1697" s="1" t="s">
        <v>1386</v>
      </c>
      <c r="D1697" s="1" t="s">
        <v>0</v>
      </c>
      <c r="E1697" s="1" t="s">
        <v>14</v>
      </c>
      <c r="F1697" s="2" t="s">
        <v>0</v>
      </c>
      <c r="G1697" s="17" t="s">
        <v>1769</v>
      </c>
    </row>
    <row r="1698" spans="1:7" ht="29.25" x14ac:dyDescent="0.25">
      <c r="A1698" s="2" t="str">
        <f>"00086794"</f>
        <v>00086794</v>
      </c>
      <c r="B1698" s="2" t="str">
        <f>"90"</f>
        <v>90</v>
      </c>
      <c r="C1698" s="1" t="s">
        <v>1386</v>
      </c>
      <c r="D1698" s="1" t="s">
        <v>0</v>
      </c>
      <c r="E1698" s="1" t="s">
        <v>14</v>
      </c>
      <c r="F1698" s="2" t="s">
        <v>0</v>
      </c>
      <c r="G1698" s="17" t="s">
        <v>1769</v>
      </c>
    </row>
    <row r="1699" spans="1:7" ht="29.25" x14ac:dyDescent="0.25">
      <c r="A1699" s="2" t="str">
        <f>"00086800"</f>
        <v>00086800</v>
      </c>
      <c r="B1699" s="2" t="str">
        <f>"  "</f>
        <v xml:space="preserve">  </v>
      </c>
      <c r="C1699" s="1" t="s">
        <v>1387</v>
      </c>
      <c r="D1699" s="1" t="s">
        <v>0</v>
      </c>
      <c r="E1699" s="1" t="s">
        <v>12</v>
      </c>
      <c r="F1699" s="2" t="s">
        <v>0</v>
      </c>
      <c r="G1699" s="3">
        <v>15.91</v>
      </c>
    </row>
    <row r="1700" spans="1:7" ht="29.25" x14ac:dyDescent="0.25">
      <c r="A1700" s="2" t="str">
        <f>"00086803"</f>
        <v>00086803</v>
      </c>
      <c r="B1700" s="2" t="str">
        <f>"  "</f>
        <v xml:space="preserve">  </v>
      </c>
      <c r="C1700" s="1" t="s">
        <v>1388</v>
      </c>
      <c r="D1700" s="1" t="s">
        <v>0</v>
      </c>
      <c r="E1700" s="1" t="s">
        <v>12</v>
      </c>
      <c r="F1700" s="2" t="s">
        <v>0</v>
      </c>
      <c r="G1700" s="3">
        <v>14.27</v>
      </c>
    </row>
    <row r="1701" spans="1:7" ht="29.25" x14ac:dyDescent="0.25">
      <c r="A1701" s="2" t="str">
        <f>"00086803"</f>
        <v>00086803</v>
      </c>
      <c r="B1701" s="2" t="str">
        <f>"QW"</f>
        <v>QW</v>
      </c>
      <c r="C1701" s="1" t="s">
        <v>1389</v>
      </c>
      <c r="D1701" s="1" t="s">
        <v>0</v>
      </c>
      <c r="E1701" s="1" t="s">
        <v>12</v>
      </c>
      <c r="F1701" s="2" t="s">
        <v>0</v>
      </c>
      <c r="G1701" s="3">
        <v>14.27</v>
      </c>
    </row>
    <row r="1702" spans="1:7" ht="43.5" x14ac:dyDescent="0.25">
      <c r="A1702" s="2" t="str">
        <f>"00086804"</f>
        <v>00086804</v>
      </c>
      <c r="B1702" s="2" t="str">
        <f t="shared" ref="B1702:B1744" si="64">"  "</f>
        <v xml:space="preserve">  </v>
      </c>
      <c r="C1702" s="1" t="s">
        <v>1390</v>
      </c>
      <c r="D1702" s="1" t="s">
        <v>0</v>
      </c>
      <c r="E1702" s="1" t="s">
        <v>12</v>
      </c>
      <c r="F1702" s="2" t="s">
        <v>0</v>
      </c>
      <c r="G1702" s="3">
        <v>15.49</v>
      </c>
    </row>
    <row r="1703" spans="1:7" ht="43.5" x14ac:dyDescent="0.25">
      <c r="A1703" s="2" t="str">
        <f>"00086805"</f>
        <v>00086805</v>
      </c>
      <c r="B1703" s="2" t="str">
        <f t="shared" si="64"/>
        <v xml:space="preserve">  </v>
      </c>
      <c r="C1703" s="1" t="s">
        <v>1391</v>
      </c>
      <c r="D1703" s="1" t="s">
        <v>0</v>
      </c>
      <c r="E1703" s="1" t="s">
        <v>12</v>
      </c>
      <c r="F1703" s="2" t="s">
        <v>0</v>
      </c>
      <c r="G1703" s="3">
        <v>189.51</v>
      </c>
    </row>
    <row r="1704" spans="1:7" x14ac:dyDescent="0.25">
      <c r="A1704" s="2" t="str">
        <f>"00086806"</f>
        <v>00086806</v>
      </c>
      <c r="B1704" s="2" t="str">
        <f t="shared" si="64"/>
        <v xml:space="preserve">  </v>
      </c>
      <c r="C1704" s="1" t="s">
        <v>1392</v>
      </c>
      <c r="D1704" s="1" t="s">
        <v>0</v>
      </c>
      <c r="E1704" s="1" t="s">
        <v>12</v>
      </c>
      <c r="F1704" s="2" t="s">
        <v>0</v>
      </c>
      <c r="G1704" s="3">
        <v>47.59</v>
      </c>
    </row>
    <row r="1705" spans="1:7" ht="57.75" x14ac:dyDescent="0.25">
      <c r="A1705" s="2" t="str">
        <f>"00086807"</f>
        <v>00086807</v>
      </c>
      <c r="B1705" s="2" t="str">
        <f t="shared" si="64"/>
        <v xml:space="preserve">  </v>
      </c>
      <c r="C1705" s="1" t="s">
        <v>1393</v>
      </c>
      <c r="D1705" s="1" t="s">
        <v>0</v>
      </c>
      <c r="E1705" s="1" t="s">
        <v>12</v>
      </c>
      <c r="F1705" s="2" t="s">
        <v>0</v>
      </c>
      <c r="G1705" s="3">
        <v>78.650000000000006</v>
      </c>
    </row>
    <row r="1706" spans="1:7" ht="29.25" x14ac:dyDescent="0.25">
      <c r="A1706" s="2" t="str">
        <f>"00086808"</f>
        <v>00086808</v>
      </c>
      <c r="B1706" s="2" t="str">
        <f t="shared" si="64"/>
        <v xml:space="preserve">  </v>
      </c>
      <c r="C1706" s="1" t="s">
        <v>1394</v>
      </c>
      <c r="D1706" s="1" t="s">
        <v>0</v>
      </c>
      <c r="E1706" s="1" t="s">
        <v>12</v>
      </c>
      <c r="F1706" s="2" t="s">
        <v>0</v>
      </c>
      <c r="G1706" s="3">
        <v>29.68</v>
      </c>
    </row>
    <row r="1707" spans="1:7" ht="43.5" x14ac:dyDescent="0.25">
      <c r="A1707" s="2" t="str">
        <f>"00086812"</f>
        <v>00086812</v>
      </c>
      <c r="B1707" s="2" t="str">
        <f t="shared" si="64"/>
        <v xml:space="preserve">  </v>
      </c>
      <c r="C1707" s="1" t="s">
        <v>1395</v>
      </c>
      <c r="D1707" s="1" t="s">
        <v>0</v>
      </c>
      <c r="E1707" s="1" t="s">
        <v>12</v>
      </c>
      <c r="F1707" s="2" t="s">
        <v>0</v>
      </c>
      <c r="G1707" s="3">
        <v>25.81</v>
      </c>
    </row>
    <row r="1708" spans="1:7" ht="29.25" x14ac:dyDescent="0.25">
      <c r="A1708" s="2" t="str">
        <f>"00086813"</f>
        <v>00086813</v>
      </c>
      <c r="B1708" s="2" t="str">
        <f t="shared" si="64"/>
        <v xml:space="preserve">  </v>
      </c>
      <c r="C1708" s="1" t="s">
        <v>1396</v>
      </c>
      <c r="D1708" s="1" t="s">
        <v>0</v>
      </c>
      <c r="E1708" s="1" t="s">
        <v>12</v>
      </c>
      <c r="F1708" s="2" t="s">
        <v>0</v>
      </c>
      <c r="G1708" s="3">
        <v>58</v>
      </c>
    </row>
    <row r="1709" spans="1:7" ht="57.75" x14ac:dyDescent="0.25">
      <c r="A1709" s="2" t="str">
        <f>"00086816"</f>
        <v>00086816</v>
      </c>
      <c r="B1709" s="2" t="str">
        <f t="shared" si="64"/>
        <v xml:space="preserve">  </v>
      </c>
      <c r="C1709" s="1" t="s">
        <v>1397</v>
      </c>
      <c r="D1709" s="1" t="s">
        <v>0</v>
      </c>
      <c r="E1709" s="1" t="s">
        <v>12</v>
      </c>
      <c r="F1709" s="2" t="s">
        <v>0</v>
      </c>
      <c r="G1709" s="3">
        <v>30.17</v>
      </c>
    </row>
    <row r="1710" spans="1:7" ht="57.75" x14ac:dyDescent="0.25">
      <c r="A1710" s="2" t="str">
        <f>"00086817"</f>
        <v>00086817</v>
      </c>
      <c r="B1710" s="2" t="str">
        <f t="shared" si="64"/>
        <v xml:space="preserve">  </v>
      </c>
      <c r="C1710" s="1" t="s">
        <v>1398</v>
      </c>
      <c r="D1710" s="1" t="s">
        <v>0</v>
      </c>
      <c r="E1710" s="1" t="s">
        <v>12</v>
      </c>
      <c r="F1710" s="2" t="s">
        <v>0</v>
      </c>
      <c r="G1710" s="3">
        <v>106.14</v>
      </c>
    </row>
    <row r="1711" spans="1:7" ht="29.25" x14ac:dyDescent="0.25">
      <c r="A1711" s="2" t="str">
        <f>"00086821"</f>
        <v>00086821</v>
      </c>
      <c r="B1711" s="2" t="str">
        <f t="shared" si="64"/>
        <v xml:space="preserve">  </v>
      </c>
      <c r="C1711" s="1" t="s">
        <v>1399</v>
      </c>
      <c r="D1711" s="1" t="s">
        <v>0</v>
      </c>
      <c r="E1711" s="1" t="s">
        <v>12</v>
      </c>
      <c r="F1711" s="2" t="s">
        <v>0</v>
      </c>
      <c r="G1711" s="3">
        <v>36.56</v>
      </c>
    </row>
    <row r="1712" spans="1:7" ht="100.5" x14ac:dyDescent="0.25">
      <c r="A1712" s="2" t="str">
        <f>"00086825"</f>
        <v>00086825</v>
      </c>
      <c r="B1712" s="2" t="str">
        <f t="shared" si="64"/>
        <v xml:space="preserve">  </v>
      </c>
      <c r="C1712" s="1" t="s">
        <v>1400</v>
      </c>
      <c r="D1712" s="1" t="s">
        <v>0</v>
      </c>
      <c r="E1712" s="1" t="s">
        <v>12</v>
      </c>
      <c r="F1712" s="2" t="s">
        <v>0</v>
      </c>
      <c r="G1712" s="3">
        <v>109.49</v>
      </c>
    </row>
    <row r="1713" spans="1:7" ht="100.5" x14ac:dyDescent="0.25">
      <c r="A1713" s="2" t="str">
        <f>"00086826"</f>
        <v>00086826</v>
      </c>
      <c r="B1713" s="2" t="str">
        <f t="shared" si="64"/>
        <v xml:space="preserve">  </v>
      </c>
      <c r="C1713" s="1" t="s">
        <v>1401</v>
      </c>
      <c r="D1713" s="1" t="s">
        <v>0</v>
      </c>
      <c r="E1713" s="1" t="s">
        <v>12</v>
      </c>
      <c r="F1713" s="2" t="s">
        <v>0</v>
      </c>
      <c r="G1713" s="3">
        <v>36.53</v>
      </c>
    </row>
    <row r="1714" spans="1:7" ht="100.5" x14ac:dyDescent="0.25">
      <c r="A1714" s="2" t="str">
        <f>"00086828"</f>
        <v>00086828</v>
      </c>
      <c r="B1714" s="2" t="str">
        <f t="shared" si="64"/>
        <v xml:space="preserve">  </v>
      </c>
      <c r="C1714" s="1" t="s">
        <v>1402</v>
      </c>
      <c r="D1714" s="1" t="s">
        <v>0</v>
      </c>
      <c r="E1714" s="1" t="s">
        <v>12</v>
      </c>
      <c r="F1714" s="2" t="s">
        <v>0</v>
      </c>
      <c r="G1714" s="3">
        <v>64.19</v>
      </c>
    </row>
    <row r="1715" spans="1:7" ht="100.5" x14ac:dyDescent="0.25">
      <c r="A1715" s="2" t="str">
        <f>"00086829"</f>
        <v>00086829</v>
      </c>
      <c r="B1715" s="2" t="str">
        <f t="shared" si="64"/>
        <v xml:space="preserve">  </v>
      </c>
      <c r="C1715" s="1" t="s">
        <v>1403</v>
      </c>
      <c r="D1715" s="1" t="s">
        <v>0</v>
      </c>
      <c r="E1715" s="1" t="s">
        <v>12</v>
      </c>
      <c r="F1715" s="2" t="s">
        <v>0</v>
      </c>
      <c r="G1715" s="3">
        <v>64.19</v>
      </c>
    </row>
    <row r="1716" spans="1:7" ht="100.5" x14ac:dyDescent="0.25">
      <c r="A1716" s="2" t="str">
        <f>"00086830"</f>
        <v>00086830</v>
      </c>
      <c r="B1716" s="2" t="str">
        <f t="shared" si="64"/>
        <v xml:space="preserve">  </v>
      </c>
      <c r="C1716" s="1" t="s">
        <v>1404</v>
      </c>
      <c r="D1716" s="1" t="s">
        <v>0</v>
      </c>
      <c r="E1716" s="1" t="s">
        <v>12</v>
      </c>
      <c r="F1716" s="2" t="s">
        <v>0</v>
      </c>
      <c r="G1716" s="3">
        <v>95.52</v>
      </c>
    </row>
    <row r="1717" spans="1:7" ht="100.5" x14ac:dyDescent="0.25">
      <c r="A1717" s="2" t="str">
        <f>"00086831"</f>
        <v>00086831</v>
      </c>
      <c r="B1717" s="2" t="str">
        <f t="shared" si="64"/>
        <v xml:space="preserve">  </v>
      </c>
      <c r="C1717" s="1" t="s">
        <v>1404</v>
      </c>
      <c r="D1717" s="1" t="s">
        <v>0</v>
      </c>
      <c r="E1717" s="1" t="s">
        <v>12</v>
      </c>
      <c r="F1717" s="2" t="s">
        <v>0</v>
      </c>
      <c r="G1717" s="3">
        <v>81.88</v>
      </c>
    </row>
    <row r="1718" spans="1:7" ht="86.25" x14ac:dyDescent="0.25">
      <c r="A1718" s="2" t="str">
        <f>"00086832"</f>
        <v>00086832</v>
      </c>
      <c r="B1718" s="2" t="str">
        <f t="shared" si="64"/>
        <v xml:space="preserve">  </v>
      </c>
      <c r="C1718" s="1" t="s">
        <v>1405</v>
      </c>
      <c r="D1718" s="1" t="s">
        <v>0</v>
      </c>
      <c r="E1718" s="1" t="s">
        <v>12</v>
      </c>
      <c r="F1718" s="2" t="s">
        <v>0</v>
      </c>
      <c r="G1718" s="3">
        <v>323.75</v>
      </c>
    </row>
    <row r="1719" spans="1:7" ht="100.5" x14ac:dyDescent="0.25">
      <c r="A1719" s="2" t="str">
        <f>"00086833"</f>
        <v>00086833</v>
      </c>
      <c r="B1719" s="2" t="str">
        <f t="shared" si="64"/>
        <v xml:space="preserve">  </v>
      </c>
      <c r="C1719" s="1" t="s">
        <v>1406</v>
      </c>
      <c r="D1719" s="1" t="s">
        <v>0</v>
      </c>
      <c r="E1719" s="1" t="s">
        <v>12</v>
      </c>
      <c r="F1719" s="2" t="s">
        <v>0</v>
      </c>
      <c r="G1719" s="3">
        <v>325.8</v>
      </c>
    </row>
    <row r="1720" spans="1:7" ht="57.75" x14ac:dyDescent="0.25">
      <c r="A1720" s="2" t="str">
        <f>"00086834"</f>
        <v>00086834</v>
      </c>
      <c r="B1720" s="2" t="str">
        <f t="shared" si="64"/>
        <v xml:space="preserve">  </v>
      </c>
      <c r="C1720" s="1" t="s">
        <v>1407</v>
      </c>
      <c r="D1720" s="1" t="s">
        <v>0</v>
      </c>
      <c r="E1720" s="1" t="s">
        <v>12</v>
      </c>
      <c r="F1720" s="2" t="s">
        <v>0</v>
      </c>
      <c r="G1720" s="3">
        <v>357.56</v>
      </c>
    </row>
    <row r="1721" spans="1:7" ht="72" x14ac:dyDescent="0.25">
      <c r="A1721" s="2" t="str">
        <f>"00086835"</f>
        <v>00086835</v>
      </c>
      <c r="B1721" s="2" t="str">
        <f t="shared" si="64"/>
        <v xml:space="preserve">  </v>
      </c>
      <c r="C1721" s="1" t="s">
        <v>1408</v>
      </c>
      <c r="D1721" s="1" t="s">
        <v>0</v>
      </c>
      <c r="E1721" s="1" t="s">
        <v>12</v>
      </c>
      <c r="F1721" s="2" t="s">
        <v>0</v>
      </c>
      <c r="G1721" s="3">
        <v>322.95999999999998</v>
      </c>
    </row>
    <row r="1722" spans="1:7" ht="43.5" x14ac:dyDescent="0.25">
      <c r="A1722" s="2" t="str">
        <f>"00086850"</f>
        <v>00086850</v>
      </c>
      <c r="B1722" s="2" t="str">
        <f t="shared" si="64"/>
        <v xml:space="preserve">  </v>
      </c>
      <c r="C1722" s="1" t="s">
        <v>1409</v>
      </c>
      <c r="D1722" s="1" t="s">
        <v>0</v>
      </c>
      <c r="E1722" s="1" t="s">
        <v>12</v>
      </c>
      <c r="F1722" s="2" t="s">
        <v>0</v>
      </c>
      <c r="G1722" s="3">
        <v>9.77</v>
      </c>
    </row>
    <row r="1723" spans="1:7" ht="43.5" x14ac:dyDescent="0.25">
      <c r="A1723" s="2" t="str">
        <f>"00086880"</f>
        <v>00086880</v>
      </c>
      <c r="B1723" s="2" t="str">
        <f t="shared" si="64"/>
        <v xml:space="preserve">  </v>
      </c>
      <c r="C1723" s="1" t="s">
        <v>1410</v>
      </c>
      <c r="D1723" s="1" t="s">
        <v>0</v>
      </c>
      <c r="E1723" s="1" t="s">
        <v>12</v>
      </c>
      <c r="F1723" s="2" t="s">
        <v>0</v>
      </c>
      <c r="G1723" s="3">
        <v>5.39</v>
      </c>
    </row>
    <row r="1724" spans="1:7" ht="57.75" x14ac:dyDescent="0.25">
      <c r="A1724" s="2" t="str">
        <f>"00086885"</f>
        <v>00086885</v>
      </c>
      <c r="B1724" s="2" t="str">
        <f t="shared" si="64"/>
        <v xml:space="preserve">  </v>
      </c>
      <c r="C1724" s="1" t="s">
        <v>1411</v>
      </c>
      <c r="D1724" s="1" t="s">
        <v>0</v>
      </c>
      <c r="E1724" s="1" t="s">
        <v>12</v>
      </c>
      <c r="F1724" s="2" t="s">
        <v>0</v>
      </c>
      <c r="G1724" s="3">
        <v>5.72</v>
      </c>
    </row>
    <row r="1725" spans="1:7" ht="43.5" x14ac:dyDescent="0.25">
      <c r="A1725" s="2" t="str">
        <f>"00086886"</f>
        <v>00086886</v>
      </c>
      <c r="B1725" s="2" t="str">
        <f t="shared" si="64"/>
        <v xml:space="preserve">  </v>
      </c>
      <c r="C1725" s="1" t="s">
        <v>1412</v>
      </c>
      <c r="D1725" s="1" t="s">
        <v>0</v>
      </c>
      <c r="E1725" s="1" t="s">
        <v>12</v>
      </c>
      <c r="F1725" s="2" t="s">
        <v>0</v>
      </c>
      <c r="G1725" s="3">
        <v>5.18</v>
      </c>
    </row>
    <row r="1726" spans="1:7" ht="29.25" x14ac:dyDescent="0.25">
      <c r="A1726" s="2" t="str">
        <f>"00086900"</f>
        <v>00086900</v>
      </c>
      <c r="B1726" s="2" t="str">
        <f t="shared" si="64"/>
        <v xml:space="preserve">  </v>
      </c>
      <c r="C1726" s="1" t="s">
        <v>1413</v>
      </c>
      <c r="D1726" s="1" t="s">
        <v>0</v>
      </c>
      <c r="E1726" s="1" t="s">
        <v>12</v>
      </c>
      <c r="F1726" s="2" t="s">
        <v>0</v>
      </c>
      <c r="G1726" s="3">
        <v>2.99</v>
      </c>
    </row>
    <row r="1727" spans="1:7" x14ac:dyDescent="0.25">
      <c r="A1727" s="2" t="str">
        <f>"00086901"</f>
        <v>00086901</v>
      </c>
      <c r="B1727" s="2" t="str">
        <f t="shared" si="64"/>
        <v xml:space="preserve">  </v>
      </c>
      <c r="C1727" s="1" t="s">
        <v>1414</v>
      </c>
      <c r="D1727" s="1" t="s">
        <v>0</v>
      </c>
      <c r="E1727" s="1" t="s">
        <v>12</v>
      </c>
      <c r="F1727" s="2" t="s">
        <v>0</v>
      </c>
      <c r="G1727" s="3">
        <v>2.99</v>
      </c>
    </row>
    <row r="1728" spans="1:7" ht="57.75" x14ac:dyDescent="0.25">
      <c r="A1728" s="2" t="str">
        <f>"00086902"</f>
        <v>00086902</v>
      </c>
      <c r="B1728" s="2" t="str">
        <f t="shared" si="64"/>
        <v xml:space="preserve">  </v>
      </c>
      <c r="C1728" s="1" t="s">
        <v>1415</v>
      </c>
      <c r="D1728" s="1" t="s">
        <v>0</v>
      </c>
      <c r="E1728" s="1" t="s">
        <v>12</v>
      </c>
      <c r="F1728" s="2" t="s">
        <v>0</v>
      </c>
      <c r="G1728" s="3">
        <v>6.35</v>
      </c>
    </row>
    <row r="1729" spans="1:7" ht="57.75" x14ac:dyDescent="0.25">
      <c r="A1729" s="2" t="str">
        <f>"00086904"</f>
        <v>00086904</v>
      </c>
      <c r="B1729" s="2" t="str">
        <f t="shared" si="64"/>
        <v xml:space="preserve">  </v>
      </c>
      <c r="C1729" s="1" t="s">
        <v>1416</v>
      </c>
      <c r="D1729" s="1" t="s">
        <v>0</v>
      </c>
      <c r="E1729" s="1" t="s">
        <v>12</v>
      </c>
      <c r="F1729" s="2" t="s">
        <v>0</v>
      </c>
      <c r="G1729" s="3">
        <v>16.34</v>
      </c>
    </row>
    <row r="1730" spans="1:7" ht="43.5" x14ac:dyDescent="0.25">
      <c r="A1730" s="2" t="str">
        <f>"00086905"</f>
        <v>00086905</v>
      </c>
      <c r="B1730" s="2" t="str">
        <f t="shared" si="64"/>
        <v xml:space="preserve">  </v>
      </c>
      <c r="C1730" s="1" t="s">
        <v>1417</v>
      </c>
      <c r="D1730" s="1" t="s">
        <v>0</v>
      </c>
      <c r="E1730" s="1" t="s">
        <v>12</v>
      </c>
      <c r="F1730" s="2" t="s">
        <v>0</v>
      </c>
      <c r="G1730" s="3">
        <v>3.83</v>
      </c>
    </row>
    <row r="1731" spans="1:7" ht="29.25" x14ac:dyDescent="0.25">
      <c r="A1731" s="2" t="str">
        <f>"00086906"</f>
        <v>00086906</v>
      </c>
      <c r="B1731" s="2" t="str">
        <f t="shared" si="64"/>
        <v xml:space="preserve">  </v>
      </c>
      <c r="C1731" s="1" t="s">
        <v>1418</v>
      </c>
      <c r="D1731" s="1" t="s">
        <v>0</v>
      </c>
      <c r="E1731" s="1" t="s">
        <v>12</v>
      </c>
      <c r="F1731" s="2" t="s">
        <v>0</v>
      </c>
      <c r="G1731" s="3">
        <v>7.75</v>
      </c>
    </row>
    <row r="1732" spans="1:7" ht="43.5" x14ac:dyDescent="0.25">
      <c r="A1732" s="2" t="str">
        <f>"00086940"</f>
        <v>00086940</v>
      </c>
      <c r="B1732" s="2" t="str">
        <f t="shared" si="64"/>
        <v xml:space="preserve">  </v>
      </c>
      <c r="C1732" s="1" t="s">
        <v>1419</v>
      </c>
      <c r="D1732" s="1" t="s">
        <v>0</v>
      </c>
      <c r="E1732" s="1" t="s">
        <v>12</v>
      </c>
      <c r="F1732" s="2" t="s">
        <v>0</v>
      </c>
      <c r="G1732" s="3">
        <v>8.77</v>
      </c>
    </row>
    <row r="1733" spans="1:7" ht="29.25" x14ac:dyDescent="0.25">
      <c r="A1733" s="2" t="str">
        <f>"00086941"</f>
        <v>00086941</v>
      </c>
      <c r="B1733" s="2" t="str">
        <f t="shared" si="64"/>
        <v xml:space="preserve">  </v>
      </c>
      <c r="C1733" s="1" t="s">
        <v>1420</v>
      </c>
      <c r="D1733" s="1" t="s">
        <v>0</v>
      </c>
      <c r="E1733" s="1" t="s">
        <v>12</v>
      </c>
      <c r="F1733" s="2" t="s">
        <v>0</v>
      </c>
      <c r="G1733" s="3">
        <v>12.11</v>
      </c>
    </row>
    <row r="1734" spans="1:7" ht="29.25" x14ac:dyDescent="0.25">
      <c r="A1734" s="2" t="str">
        <f>"00087003"</f>
        <v>00087003</v>
      </c>
      <c r="B1734" s="2" t="str">
        <f t="shared" si="64"/>
        <v xml:space="preserve">  </v>
      </c>
      <c r="C1734" s="1" t="s">
        <v>1421</v>
      </c>
      <c r="D1734" s="1" t="s">
        <v>0</v>
      </c>
      <c r="E1734" s="1" t="s">
        <v>12</v>
      </c>
      <c r="F1734" s="2" t="s">
        <v>0</v>
      </c>
      <c r="G1734" s="3">
        <v>16.84</v>
      </c>
    </row>
    <row r="1735" spans="1:7" ht="43.5" x14ac:dyDescent="0.25">
      <c r="A1735" s="2" t="str">
        <f>"00087015"</f>
        <v>00087015</v>
      </c>
      <c r="B1735" s="2" t="str">
        <f t="shared" si="64"/>
        <v xml:space="preserve">  </v>
      </c>
      <c r="C1735" s="1" t="s">
        <v>1422</v>
      </c>
      <c r="D1735" s="1" t="s">
        <v>0</v>
      </c>
      <c r="E1735" s="1" t="s">
        <v>12</v>
      </c>
      <c r="F1735" s="2" t="s">
        <v>0</v>
      </c>
      <c r="G1735" s="3">
        <v>6.68</v>
      </c>
    </row>
    <row r="1736" spans="1:7" ht="114.75" x14ac:dyDescent="0.25">
      <c r="A1736" s="2" t="str">
        <f>"00087040"</f>
        <v>00087040</v>
      </c>
      <c r="B1736" s="2" t="str">
        <f t="shared" si="64"/>
        <v xml:space="preserve">  </v>
      </c>
      <c r="C1736" s="1" t="s">
        <v>1423</v>
      </c>
      <c r="D1736" s="1" t="s">
        <v>0</v>
      </c>
      <c r="E1736" s="1" t="s">
        <v>12</v>
      </c>
      <c r="F1736" s="2" t="s">
        <v>0</v>
      </c>
      <c r="G1736" s="3">
        <v>10.32</v>
      </c>
    </row>
    <row r="1737" spans="1:7" ht="86.25" x14ac:dyDescent="0.25">
      <c r="A1737" s="2" t="str">
        <f>"00087045"</f>
        <v>00087045</v>
      </c>
      <c r="B1737" s="2" t="str">
        <f t="shared" si="64"/>
        <v xml:space="preserve">  </v>
      </c>
      <c r="C1737" s="1" t="s">
        <v>1424</v>
      </c>
      <c r="D1737" s="1" t="s">
        <v>0</v>
      </c>
      <c r="E1737" s="1" t="s">
        <v>12</v>
      </c>
      <c r="F1737" s="2" t="s">
        <v>0</v>
      </c>
      <c r="G1737" s="3">
        <v>9.44</v>
      </c>
    </row>
    <row r="1738" spans="1:7" ht="100.5" x14ac:dyDescent="0.25">
      <c r="A1738" s="2" t="str">
        <f>"00087046"</f>
        <v>00087046</v>
      </c>
      <c r="B1738" s="2" t="str">
        <f t="shared" si="64"/>
        <v xml:space="preserve">  </v>
      </c>
      <c r="C1738" s="1" t="s">
        <v>1425</v>
      </c>
      <c r="D1738" s="1" t="s">
        <v>0</v>
      </c>
      <c r="E1738" s="1" t="s">
        <v>12</v>
      </c>
      <c r="F1738" s="2" t="s">
        <v>0</v>
      </c>
      <c r="G1738" s="3">
        <v>9.44</v>
      </c>
    </row>
    <row r="1739" spans="1:7" ht="100.5" x14ac:dyDescent="0.25">
      <c r="A1739" s="2" t="str">
        <f>"00087070"</f>
        <v>00087070</v>
      </c>
      <c r="B1739" s="2" t="str">
        <f t="shared" si="64"/>
        <v xml:space="preserve">  </v>
      </c>
      <c r="C1739" s="1" t="s">
        <v>1426</v>
      </c>
      <c r="D1739" s="1" t="s">
        <v>0</v>
      </c>
      <c r="E1739" s="1" t="s">
        <v>12</v>
      </c>
      <c r="F1739" s="2" t="s">
        <v>0</v>
      </c>
      <c r="G1739" s="3">
        <v>8.6199999999999992</v>
      </c>
    </row>
    <row r="1740" spans="1:7" ht="114.75" x14ac:dyDescent="0.25">
      <c r="A1740" s="2" t="str">
        <f>"00087071"</f>
        <v>00087071</v>
      </c>
      <c r="B1740" s="2" t="str">
        <f t="shared" si="64"/>
        <v xml:space="preserve">  </v>
      </c>
      <c r="C1740" s="1" t="s">
        <v>1427</v>
      </c>
      <c r="D1740" s="1" t="s">
        <v>0</v>
      </c>
      <c r="E1740" s="1" t="s">
        <v>12</v>
      </c>
      <c r="F1740" s="2" t="s">
        <v>0</v>
      </c>
      <c r="G1740" s="3">
        <v>9.89</v>
      </c>
    </row>
    <row r="1741" spans="1:7" ht="114.75" x14ac:dyDescent="0.25">
      <c r="A1741" s="2" t="str">
        <f>"00087073"</f>
        <v>00087073</v>
      </c>
      <c r="B1741" s="2" t="str">
        <f t="shared" si="64"/>
        <v xml:space="preserve">  </v>
      </c>
      <c r="C1741" s="1" t="s">
        <v>1428</v>
      </c>
      <c r="D1741" s="1" t="s">
        <v>0</v>
      </c>
      <c r="E1741" s="1" t="s">
        <v>12</v>
      </c>
      <c r="F1741" s="2" t="s">
        <v>0</v>
      </c>
      <c r="G1741" s="3">
        <v>9.66</v>
      </c>
    </row>
    <row r="1742" spans="1:7" ht="100.5" x14ac:dyDescent="0.25">
      <c r="A1742" s="2" t="str">
        <f>"00087075"</f>
        <v>00087075</v>
      </c>
      <c r="B1742" s="2" t="str">
        <f t="shared" si="64"/>
        <v xml:space="preserve">  </v>
      </c>
      <c r="C1742" s="1" t="s">
        <v>1429</v>
      </c>
      <c r="D1742" s="1" t="s">
        <v>0</v>
      </c>
      <c r="E1742" s="1" t="s">
        <v>12</v>
      </c>
      <c r="F1742" s="2" t="s">
        <v>0</v>
      </c>
      <c r="G1742" s="3">
        <v>9.4700000000000006</v>
      </c>
    </row>
    <row r="1743" spans="1:7" ht="86.25" x14ac:dyDescent="0.25">
      <c r="A1743" s="2" t="str">
        <f>"00087076"</f>
        <v>00087076</v>
      </c>
      <c r="B1743" s="2" t="str">
        <f t="shared" si="64"/>
        <v xml:space="preserve">  </v>
      </c>
      <c r="C1743" s="1" t="s">
        <v>1430</v>
      </c>
      <c r="D1743" s="1" t="s">
        <v>0</v>
      </c>
      <c r="E1743" s="1" t="s">
        <v>12</v>
      </c>
      <c r="F1743" s="2" t="s">
        <v>0</v>
      </c>
      <c r="G1743" s="3">
        <v>8.08</v>
      </c>
    </row>
    <row r="1744" spans="1:7" ht="86.25" x14ac:dyDescent="0.25">
      <c r="A1744" s="2" t="str">
        <f>"00087077"</f>
        <v>00087077</v>
      </c>
      <c r="B1744" s="2" t="str">
        <f t="shared" si="64"/>
        <v xml:space="preserve">  </v>
      </c>
      <c r="C1744" s="1" t="s">
        <v>1431</v>
      </c>
      <c r="D1744" s="1" t="s">
        <v>0</v>
      </c>
      <c r="E1744" s="1" t="s">
        <v>12</v>
      </c>
      <c r="F1744" s="2" t="s">
        <v>0</v>
      </c>
      <c r="G1744" s="3">
        <v>8.08</v>
      </c>
    </row>
    <row r="1745" spans="1:7" ht="86.25" x14ac:dyDescent="0.25">
      <c r="A1745" s="2" t="str">
        <f>"00087077"</f>
        <v>00087077</v>
      </c>
      <c r="B1745" s="2" t="str">
        <f>"QW"</f>
        <v>QW</v>
      </c>
      <c r="C1745" s="1" t="s">
        <v>1431</v>
      </c>
      <c r="D1745" s="1" t="s">
        <v>0</v>
      </c>
      <c r="E1745" s="1" t="s">
        <v>12</v>
      </c>
      <c r="F1745" s="2" t="s">
        <v>0</v>
      </c>
      <c r="G1745" s="3">
        <v>8.08</v>
      </c>
    </row>
    <row r="1746" spans="1:7" ht="43.5" x14ac:dyDescent="0.25">
      <c r="A1746" s="2" t="str">
        <f>"00087081"</f>
        <v>00087081</v>
      </c>
      <c r="B1746" s="2" t="str">
        <f t="shared" ref="B1746:B1766" si="65">"  "</f>
        <v xml:space="preserve">  </v>
      </c>
      <c r="C1746" s="1" t="s">
        <v>1432</v>
      </c>
      <c r="D1746" s="1" t="s">
        <v>0</v>
      </c>
      <c r="E1746" s="1" t="s">
        <v>12</v>
      </c>
      <c r="F1746" s="2" t="s">
        <v>0</v>
      </c>
      <c r="G1746" s="3">
        <v>6.63</v>
      </c>
    </row>
    <row r="1747" spans="1:7" ht="29.25" x14ac:dyDescent="0.25">
      <c r="A1747" s="2" t="str">
        <f>"00087084"</f>
        <v>00087084</v>
      </c>
      <c r="B1747" s="2" t="str">
        <f t="shared" si="65"/>
        <v xml:space="preserve">  </v>
      </c>
      <c r="C1747" s="1" t="s">
        <v>1433</v>
      </c>
      <c r="D1747" s="1" t="s">
        <v>0</v>
      </c>
      <c r="E1747" s="1" t="s">
        <v>12</v>
      </c>
      <c r="F1747" s="2" t="s">
        <v>0</v>
      </c>
      <c r="G1747" s="3">
        <v>27.07</v>
      </c>
    </row>
    <row r="1748" spans="1:7" ht="43.5" x14ac:dyDescent="0.25">
      <c r="A1748" s="2" t="str">
        <f>"00087086"</f>
        <v>00087086</v>
      </c>
      <c r="B1748" s="2" t="str">
        <f t="shared" si="65"/>
        <v xml:space="preserve">  </v>
      </c>
      <c r="C1748" s="1" t="s">
        <v>1434</v>
      </c>
      <c r="D1748" s="1" t="s">
        <v>0</v>
      </c>
      <c r="E1748" s="1" t="s">
        <v>12</v>
      </c>
      <c r="F1748" s="2" t="s">
        <v>0</v>
      </c>
      <c r="G1748" s="3">
        <v>8.07</v>
      </c>
    </row>
    <row r="1749" spans="1:7" ht="72" x14ac:dyDescent="0.25">
      <c r="A1749" s="2" t="str">
        <f>"00087088"</f>
        <v>00087088</v>
      </c>
      <c r="B1749" s="2" t="str">
        <f t="shared" si="65"/>
        <v xml:space="preserve">  </v>
      </c>
      <c r="C1749" s="1" t="s">
        <v>1435</v>
      </c>
      <c r="D1749" s="1" t="s">
        <v>0</v>
      </c>
      <c r="E1749" s="1" t="s">
        <v>12</v>
      </c>
      <c r="F1749" s="2" t="s">
        <v>0</v>
      </c>
      <c r="G1749" s="3">
        <v>8.09</v>
      </c>
    </row>
    <row r="1750" spans="1:7" ht="86.25" x14ac:dyDescent="0.25">
      <c r="A1750" s="2" t="str">
        <f>"00087101"</f>
        <v>00087101</v>
      </c>
      <c r="B1750" s="2" t="str">
        <f t="shared" si="65"/>
        <v xml:space="preserve">  </v>
      </c>
      <c r="C1750" s="1" t="s">
        <v>1436</v>
      </c>
      <c r="D1750" s="1" t="s">
        <v>0</v>
      </c>
      <c r="E1750" s="1" t="s">
        <v>12</v>
      </c>
      <c r="F1750" s="2" t="s">
        <v>0</v>
      </c>
      <c r="G1750" s="3">
        <v>7.71</v>
      </c>
    </row>
    <row r="1751" spans="1:7" ht="29.25" x14ac:dyDescent="0.25">
      <c r="A1751" s="2" t="str">
        <f>"00087102"</f>
        <v>00087102</v>
      </c>
      <c r="B1751" s="2" t="str">
        <f t="shared" si="65"/>
        <v xml:space="preserve">  </v>
      </c>
      <c r="C1751" s="1" t="s">
        <v>1437</v>
      </c>
      <c r="D1751" s="1" t="s">
        <v>0</v>
      </c>
      <c r="E1751" s="1" t="s">
        <v>12</v>
      </c>
      <c r="F1751" s="2" t="s">
        <v>0</v>
      </c>
      <c r="G1751" s="3">
        <v>8.41</v>
      </c>
    </row>
    <row r="1752" spans="1:7" x14ac:dyDescent="0.25">
      <c r="A1752" s="2" t="str">
        <f>"00087103"</f>
        <v>00087103</v>
      </c>
      <c r="B1752" s="2" t="str">
        <f t="shared" si="65"/>
        <v xml:space="preserve">  </v>
      </c>
      <c r="C1752" s="1" t="s">
        <v>1438</v>
      </c>
      <c r="D1752" s="1" t="s">
        <v>0</v>
      </c>
      <c r="E1752" s="1" t="s">
        <v>12</v>
      </c>
      <c r="F1752" s="2" t="s">
        <v>0</v>
      </c>
      <c r="G1752" s="3">
        <v>20.46</v>
      </c>
    </row>
    <row r="1753" spans="1:7" ht="43.5" x14ac:dyDescent="0.25">
      <c r="A1753" s="2" t="str">
        <f>"00087106"</f>
        <v>00087106</v>
      </c>
      <c r="B1753" s="2" t="str">
        <f t="shared" si="65"/>
        <v xml:space="preserve">  </v>
      </c>
      <c r="C1753" s="1" t="s">
        <v>1439</v>
      </c>
      <c r="D1753" s="1" t="s">
        <v>0</v>
      </c>
      <c r="E1753" s="1" t="s">
        <v>12</v>
      </c>
      <c r="F1753" s="2" t="s">
        <v>0</v>
      </c>
      <c r="G1753" s="3">
        <v>10.32</v>
      </c>
    </row>
    <row r="1754" spans="1:7" ht="43.5" x14ac:dyDescent="0.25">
      <c r="A1754" s="2" t="str">
        <f>"00087107"</f>
        <v>00087107</v>
      </c>
      <c r="B1754" s="2" t="str">
        <f t="shared" si="65"/>
        <v xml:space="preserve">  </v>
      </c>
      <c r="C1754" s="1" t="s">
        <v>1440</v>
      </c>
      <c r="D1754" s="1" t="s">
        <v>0</v>
      </c>
      <c r="E1754" s="1" t="s">
        <v>12</v>
      </c>
      <c r="F1754" s="2" t="s">
        <v>0</v>
      </c>
      <c r="G1754" s="3">
        <v>10.32</v>
      </c>
    </row>
    <row r="1755" spans="1:7" ht="43.5" x14ac:dyDescent="0.25">
      <c r="A1755" s="2" t="str">
        <f>"00087109"</f>
        <v>00087109</v>
      </c>
      <c r="B1755" s="2" t="str">
        <f t="shared" si="65"/>
        <v xml:space="preserve">  </v>
      </c>
      <c r="C1755" s="1" t="s">
        <v>1441</v>
      </c>
      <c r="D1755" s="1" t="s">
        <v>0</v>
      </c>
      <c r="E1755" s="1" t="s">
        <v>12</v>
      </c>
      <c r="F1755" s="2" t="s">
        <v>0</v>
      </c>
      <c r="G1755" s="3">
        <v>15.39</v>
      </c>
    </row>
    <row r="1756" spans="1:7" ht="29.25" x14ac:dyDescent="0.25">
      <c r="A1756" s="2" t="str">
        <f>"00087110"</f>
        <v>00087110</v>
      </c>
      <c r="B1756" s="2" t="str">
        <f t="shared" si="65"/>
        <v xml:space="preserve">  </v>
      </c>
      <c r="C1756" s="1" t="s">
        <v>1442</v>
      </c>
      <c r="D1756" s="1" t="s">
        <v>0</v>
      </c>
      <c r="E1756" s="1" t="s">
        <v>12</v>
      </c>
      <c r="F1756" s="2" t="s">
        <v>0</v>
      </c>
      <c r="G1756" s="3">
        <v>19.600000000000001</v>
      </c>
    </row>
    <row r="1757" spans="1:7" ht="100.5" x14ac:dyDescent="0.25">
      <c r="A1757" s="2" t="str">
        <f>"00087116"</f>
        <v>00087116</v>
      </c>
      <c r="B1757" s="2" t="str">
        <f t="shared" si="65"/>
        <v xml:space="preserve">  </v>
      </c>
      <c r="C1757" s="1" t="s">
        <v>1443</v>
      </c>
      <c r="D1757" s="1" t="s">
        <v>0</v>
      </c>
      <c r="E1757" s="1" t="s">
        <v>12</v>
      </c>
      <c r="F1757" s="2" t="s">
        <v>0</v>
      </c>
      <c r="G1757" s="3">
        <v>10.8</v>
      </c>
    </row>
    <row r="1758" spans="1:7" ht="43.5" x14ac:dyDescent="0.25">
      <c r="A1758" s="2" t="str">
        <f>"00087118"</f>
        <v>00087118</v>
      </c>
      <c r="B1758" s="2" t="str">
        <f t="shared" si="65"/>
        <v xml:space="preserve">  </v>
      </c>
      <c r="C1758" s="1" t="s">
        <v>1444</v>
      </c>
      <c r="D1758" s="1" t="s">
        <v>0</v>
      </c>
      <c r="E1758" s="1" t="s">
        <v>12</v>
      </c>
      <c r="F1758" s="2" t="s">
        <v>0</v>
      </c>
      <c r="G1758" s="3">
        <v>14.61</v>
      </c>
    </row>
    <row r="1759" spans="1:7" ht="43.5" x14ac:dyDescent="0.25">
      <c r="A1759" s="2" t="str">
        <f>"00087140"</f>
        <v>00087140</v>
      </c>
      <c r="B1759" s="2" t="str">
        <f t="shared" si="65"/>
        <v xml:space="preserve">  </v>
      </c>
      <c r="C1759" s="1" t="s">
        <v>1445</v>
      </c>
      <c r="D1759" s="1" t="s">
        <v>0</v>
      </c>
      <c r="E1759" s="1" t="s">
        <v>12</v>
      </c>
      <c r="F1759" s="2" t="s">
        <v>0</v>
      </c>
      <c r="G1759" s="3">
        <v>5.57</v>
      </c>
    </row>
    <row r="1760" spans="1:7" ht="72" x14ac:dyDescent="0.25">
      <c r="A1760" s="2" t="str">
        <f>"00087143"</f>
        <v>00087143</v>
      </c>
      <c r="B1760" s="2" t="str">
        <f t="shared" si="65"/>
        <v xml:space="preserve">  </v>
      </c>
      <c r="C1760" s="1" t="s">
        <v>1446</v>
      </c>
      <c r="D1760" s="1" t="s">
        <v>0</v>
      </c>
      <c r="E1760" s="1" t="s">
        <v>12</v>
      </c>
      <c r="F1760" s="2" t="s">
        <v>0</v>
      </c>
      <c r="G1760" s="3">
        <v>12.52</v>
      </c>
    </row>
    <row r="1761" spans="1:7" ht="100.5" x14ac:dyDescent="0.25">
      <c r="A1761" s="2" t="str">
        <f>"00087147"</f>
        <v>00087147</v>
      </c>
      <c r="B1761" s="2" t="str">
        <f t="shared" si="65"/>
        <v xml:space="preserve">  </v>
      </c>
      <c r="C1761" s="1" t="s">
        <v>1447</v>
      </c>
      <c r="D1761" s="1" t="s">
        <v>0</v>
      </c>
      <c r="E1761" s="1" t="s">
        <v>12</v>
      </c>
      <c r="F1761" s="2" t="s">
        <v>0</v>
      </c>
      <c r="G1761" s="3">
        <v>5.18</v>
      </c>
    </row>
    <row r="1762" spans="1:7" ht="86.25" x14ac:dyDescent="0.25">
      <c r="A1762" s="2" t="str">
        <f>"00087149"</f>
        <v>00087149</v>
      </c>
      <c r="B1762" s="2" t="str">
        <f t="shared" si="65"/>
        <v xml:space="preserve">  </v>
      </c>
      <c r="C1762" s="1" t="s">
        <v>1448</v>
      </c>
      <c r="D1762" s="1" t="s">
        <v>0</v>
      </c>
      <c r="E1762" s="1" t="s">
        <v>12</v>
      </c>
      <c r="F1762" s="2" t="s">
        <v>0</v>
      </c>
      <c r="G1762" s="3">
        <v>20.05</v>
      </c>
    </row>
    <row r="1763" spans="1:7" ht="100.5" x14ac:dyDescent="0.25">
      <c r="A1763" s="2" t="str">
        <f>"00087150"</f>
        <v>00087150</v>
      </c>
      <c r="B1763" s="2" t="str">
        <f t="shared" si="65"/>
        <v xml:space="preserve">  </v>
      </c>
      <c r="C1763" s="1" t="s">
        <v>1449</v>
      </c>
      <c r="D1763" s="1" t="s">
        <v>0</v>
      </c>
      <c r="E1763" s="1" t="s">
        <v>12</v>
      </c>
      <c r="F1763" s="2" t="s">
        <v>0</v>
      </c>
      <c r="G1763" s="3">
        <v>35.090000000000003</v>
      </c>
    </row>
    <row r="1764" spans="1:7" ht="43.5" x14ac:dyDescent="0.25">
      <c r="A1764" s="2" t="str">
        <f>"00087152"</f>
        <v>00087152</v>
      </c>
      <c r="B1764" s="2" t="str">
        <f t="shared" si="65"/>
        <v xml:space="preserve">  </v>
      </c>
      <c r="C1764" s="1" t="s">
        <v>1450</v>
      </c>
      <c r="D1764" s="1" t="s">
        <v>0</v>
      </c>
      <c r="E1764" s="1" t="s">
        <v>12</v>
      </c>
      <c r="F1764" s="2" t="s">
        <v>0</v>
      </c>
      <c r="G1764" s="3">
        <v>7.74</v>
      </c>
    </row>
    <row r="1765" spans="1:7" ht="86.25" x14ac:dyDescent="0.25">
      <c r="A1765" s="2" t="str">
        <f>"00087153"</f>
        <v>00087153</v>
      </c>
      <c r="B1765" s="2" t="str">
        <f t="shared" si="65"/>
        <v xml:space="preserve">  </v>
      </c>
      <c r="C1765" s="1" t="s">
        <v>1451</v>
      </c>
      <c r="D1765" s="1" t="s">
        <v>0</v>
      </c>
      <c r="E1765" s="1" t="s">
        <v>12</v>
      </c>
      <c r="F1765" s="2" t="s">
        <v>0</v>
      </c>
      <c r="G1765" s="3">
        <v>115.36</v>
      </c>
    </row>
    <row r="1766" spans="1:7" ht="43.5" x14ac:dyDescent="0.25">
      <c r="A1766" s="2" t="str">
        <f>"00087154"</f>
        <v>00087154</v>
      </c>
      <c r="B1766" s="2" t="str">
        <f t="shared" si="65"/>
        <v xml:space="preserve">  </v>
      </c>
      <c r="C1766" s="1" t="s">
        <v>1452</v>
      </c>
      <c r="D1766" s="1" t="s">
        <v>0</v>
      </c>
      <c r="E1766" s="1" t="s">
        <v>14</v>
      </c>
      <c r="F1766" s="2" t="s">
        <v>0</v>
      </c>
      <c r="G1766" s="17" t="s">
        <v>1769</v>
      </c>
    </row>
    <row r="1767" spans="1:7" ht="43.5" x14ac:dyDescent="0.25">
      <c r="A1767" s="2" t="str">
        <f>"00087154"</f>
        <v>00087154</v>
      </c>
      <c r="B1767" s="2" t="str">
        <f>"90"</f>
        <v>90</v>
      </c>
      <c r="C1767" s="1" t="s">
        <v>1452</v>
      </c>
      <c r="D1767" s="1" t="s">
        <v>0</v>
      </c>
      <c r="E1767" s="1" t="s">
        <v>14</v>
      </c>
      <c r="F1767" s="2" t="s">
        <v>0</v>
      </c>
      <c r="G1767" s="17" t="s">
        <v>1769</v>
      </c>
    </row>
    <row r="1768" spans="1:7" x14ac:dyDescent="0.25">
      <c r="A1768" s="2" t="str">
        <f>"00087158"</f>
        <v>00087158</v>
      </c>
      <c r="B1768" s="2" t="str">
        <f t="shared" ref="B1768:B1788" si="66">"  "</f>
        <v xml:space="preserve">  </v>
      </c>
      <c r="C1768" s="1" t="s">
        <v>1453</v>
      </c>
      <c r="D1768" s="1" t="s">
        <v>0</v>
      </c>
      <c r="E1768" s="1" t="s">
        <v>12</v>
      </c>
      <c r="F1768" s="2" t="s">
        <v>0</v>
      </c>
      <c r="G1768" s="3">
        <v>7.74</v>
      </c>
    </row>
    <row r="1769" spans="1:7" ht="72" x14ac:dyDescent="0.25">
      <c r="A1769" s="2" t="str">
        <f>"00087164"</f>
        <v>00087164</v>
      </c>
      <c r="B1769" s="2" t="str">
        <f t="shared" si="66"/>
        <v xml:space="preserve">  </v>
      </c>
      <c r="C1769" s="1" t="s">
        <v>1454</v>
      </c>
      <c r="D1769" s="1" t="s">
        <v>0</v>
      </c>
      <c r="E1769" s="1" t="s">
        <v>12</v>
      </c>
      <c r="F1769" s="2" t="s">
        <v>0</v>
      </c>
      <c r="G1769" s="3">
        <v>10.74</v>
      </c>
    </row>
    <row r="1770" spans="1:7" ht="29.25" x14ac:dyDescent="0.25">
      <c r="A1770" s="2" t="str">
        <f>"00087166"</f>
        <v>00087166</v>
      </c>
      <c r="B1770" s="2" t="str">
        <f t="shared" si="66"/>
        <v xml:space="preserve">  </v>
      </c>
      <c r="C1770" s="1" t="s">
        <v>1455</v>
      </c>
      <c r="D1770" s="1" t="s">
        <v>0</v>
      </c>
      <c r="E1770" s="1" t="s">
        <v>12</v>
      </c>
      <c r="F1770" s="2" t="s">
        <v>0</v>
      </c>
      <c r="G1770" s="3">
        <v>11.3</v>
      </c>
    </row>
    <row r="1771" spans="1:7" ht="29.25" x14ac:dyDescent="0.25">
      <c r="A1771" s="2" t="str">
        <f>"00087168"</f>
        <v>00087168</v>
      </c>
      <c r="B1771" s="2" t="str">
        <f t="shared" si="66"/>
        <v xml:space="preserve">  </v>
      </c>
      <c r="C1771" s="1" t="s">
        <v>1456</v>
      </c>
      <c r="D1771" s="1" t="s">
        <v>0</v>
      </c>
      <c r="E1771" s="1" t="s">
        <v>12</v>
      </c>
      <c r="F1771" s="2" t="s">
        <v>0</v>
      </c>
      <c r="G1771" s="3">
        <v>4.2699999999999996</v>
      </c>
    </row>
    <row r="1772" spans="1:7" ht="29.25" x14ac:dyDescent="0.25">
      <c r="A1772" s="2" t="str">
        <f>"00087169"</f>
        <v>00087169</v>
      </c>
      <c r="B1772" s="2" t="str">
        <f t="shared" si="66"/>
        <v xml:space="preserve">  </v>
      </c>
      <c r="C1772" s="1" t="s">
        <v>1457</v>
      </c>
      <c r="D1772" s="1" t="s">
        <v>0</v>
      </c>
      <c r="E1772" s="1" t="s">
        <v>12</v>
      </c>
      <c r="F1772" s="2" t="s">
        <v>0</v>
      </c>
      <c r="G1772" s="3">
        <v>4.3099999999999996</v>
      </c>
    </row>
    <row r="1773" spans="1:7" ht="29.25" x14ac:dyDescent="0.25">
      <c r="A1773" s="2" t="str">
        <f>"00087172"</f>
        <v>00087172</v>
      </c>
      <c r="B1773" s="2" t="str">
        <f t="shared" si="66"/>
        <v xml:space="preserve">  </v>
      </c>
      <c r="C1773" s="1" t="s">
        <v>1458</v>
      </c>
      <c r="D1773" s="1" t="s">
        <v>0</v>
      </c>
      <c r="E1773" s="1" t="s">
        <v>12</v>
      </c>
      <c r="F1773" s="2" t="s">
        <v>0</v>
      </c>
      <c r="G1773" s="3">
        <v>4.2699999999999996</v>
      </c>
    </row>
    <row r="1774" spans="1:7" ht="29.25" x14ac:dyDescent="0.25">
      <c r="A1774" s="2" t="str">
        <f>"00087176"</f>
        <v>00087176</v>
      </c>
      <c r="B1774" s="2" t="str">
        <f t="shared" si="66"/>
        <v xml:space="preserve">  </v>
      </c>
      <c r="C1774" s="1" t="s">
        <v>1459</v>
      </c>
      <c r="D1774" s="1" t="s">
        <v>0</v>
      </c>
      <c r="E1774" s="1" t="s">
        <v>12</v>
      </c>
      <c r="F1774" s="2" t="s">
        <v>0</v>
      </c>
      <c r="G1774" s="3">
        <v>5.88</v>
      </c>
    </row>
    <row r="1775" spans="1:7" ht="72" x14ac:dyDescent="0.25">
      <c r="A1775" s="2" t="str">
        <f>"00087177"</f>
        <v>00087177</v>
      </c>
      <c r="B1775" s="2" t="str">
        <f t="shared" si="66"/>
        <v xml:space="preserve">  </v>
      </c>
      <c r="C1775" s="1" t="s">
        <v>1460</v>
      </c>
      <c r="D1775" s="1" t="s">
        <v>0</v>
      </c>
      <c r="E1775" s="1" t="s">
        <v>12</v>
      </c>
      <c r="F1775" s="2" t="s">
        <v>0</v>
      </c>
      <c r="G1775" s="3">
        <v>8.9</v>
      </c>
    </row>
    <row r="1776" spans="1:7" ht="72" x14ac:dyDescent="0.25">
      <c r="A1776" s="2" t="str">
        <f>"00087181"</f>
        <v>00087181</v>
      </c>
      <c r="B1776" s="2" t="str">
        <f t="shared" si="66"/>
        <v xml:space="preserve">  </v>
      </c>
      <c r="C1776" s="1" t="s">
        <v>1461</v>
      </c>
      <c r="D1776" s="1" t="s">
        <v>0</v>
      </c>
      <c r="E1776" s="1" t="s">
        <v>12</v>
      </c>
      <c r="F1776" s="2" t="s">
        <v>0</v>
      </c>
      <c r="G1776" s="3">
        <v>4.75</v>
      </c>
    </row>
    <row r="1777" spans="1:7" ht="57.75" x14ac:dyDescent="0.25">
      <c r="A1777" s="2" t="str">
        <f>"00087184"</f>
        <v>00087184</v>
      </c>
      <c r="B1777" s="2" t="str">
        <f t="shared" si="66"/>
        <v xml:space="preserve">  </v>
      </c>
      <c r="C1777" s="1" t="s">
        <v>1462</v>
      </c>
      <c r="D1777" s="1" t="s">
        <v>0</v>
      </c>
      <c r="E1777" s="1" t="s">
        <v>12</v>
      </c>
      <c r="F1777" s="2" t="s">
        <v>0</v>
      </c>
      <c r="G1777" s="3">
        <v>7.48</v>
      </c>
    </row>
    <row r="1778" spans="1:7" ht="57.75" x14ac:dyDescent="0.25">
      <c r="A1778" s="2" t="str">
        <f>"00087185"</f>
        <v>00087185</v>
      </c>
      <c r="B1778" s="2" t="str">
        <f t="shared" si="66"/>
        <v xml:space="preserve">  </v>
      </c>
      <c r="C1778" s="1" t="s">
        <v>1463</v>
      </c>
      <c r="D1778" s="1" t="s">
        <v>0</v>
      </c>
      <c r="E1778" s="1" t="s">
        <v>12</v>
      </c>
      <c r="F1778" s="2" t="s">
        <v>0</v>
      </c>
      <c r="G1778" s="3">
        <v>4.75</v>
      </c>
    </row>
    <row r="1779" spans="1:7" ht="72" x14ac:dyDescent="0.25">
      <c r="A1779" s="2" t="str">
        <f>"00087186"</f>
        <v>00087186</v>
      </c>
      <c r="B1779" s="2" t="str">
        <f t="shared" si="66"/>
        <v xml:space="preserve">  </v>
      </c>
      <c r="C1779" s="1" t="s">
        <v>1464</v>
      </c>
      <c r="D1779" s="1" t="s">
        <v>0</v>
      </c>
      <c r="E1779" s="1" t="s">
        <v>12</v>
      </c>
      <c r="F1779" s="2" t="s">
        <v>0</v>
      </c>
      <c r="G1779" s="3">
        <v>8.65</v>
      </c>
    </row>
    <row r="1780" spans="1:7" ht="86.25" x14ac:dyDescent="0.25">
      <c r="A1780" s="2" t="str">
        <f>"00087187"</f>
        <v>00087187</v>
      </c>
      <c r="B1780" s="2" t="str">
        <f t="shared" si="66"/>
        <v xml:space="preserve">  </v>
      </c>
      <c r="C1780" s="1" t="s">
        <v>1465</v>
      </c>
      <c r="D1780" s="1" t="s">
        <v>0</v>
      </c>
      <c r="E1780" s="1" t="s">
        <v>12</v>
      </c>
      <c r="F1780" s="2" t="s">
        <v>0</v>
      </c>
      <c r="G1780" s="3">
        <v>40.17</v>
      </c>
    </row>
    <row r="1781" spans="1:7" ht="57.75" x14ac:dyDescent="0.25">
      <c r="A1781" s="2" t="str">
        <f>"00087188"</f>
        <v>00087188</v>
      </c>
      <c r="B1781" s="2" t="str">
        <f t="shared" si="66"/>
        <v xml:space="preserve">  </v>
      </c>
      <c r="C1781" s="1" t="s">
        <v>1466</v>
      </c>
      <c r="D1781" s="1" t="s">
        <v>0</v>
      </c>
      <c r="E1781" s="1" t="s">
        <v>12</v>
      </c>
      <c r="F1781" s="2" t="s">
        <v>0</v>
      </c>
      <c r="G1781" s="3">
        <v>6.64</v>
      </c>
    </row>
    <row r="1782" spans="1:7" ht="72" x14ac:dyDescent="0.25">
      <c r="A1782" s="2" t="str">
        <f>"00087190"</f>
        <v>00087190</v>
      </c>
      <c r="B1782" s="2" t="str">
        <f t="shared" si="66"/>
        <v xml:space="preserve">  </v>
      </c>
      <c r="C1782" s="1" t="s">
        <v>1467</v>
      </c>
      <c r="D1782" s="1" t="s">
        <v>0</v>
      </c>
      <c r="E1782" s="1" t="s">
        <v>12</v>
      </c>
      <c r="F1782" s="2" t="s">
        <v>0</v>
      </c>
      <c r="G1782" s="3">
        <v>7.31</v>
      </c>
    </row>
    <row r="1783" spans="1:7" ht="29.25" x14ac:dyDescent="0.25">
      <c r="A1783" s="2" t="str">
        <f>"00087197"</f>
        <v>00087197</v>
      </c>
      <c r="B1783" s="2" t="str">
        <f t="shared" si="66"/>
        <v xml:space="preserve">  </v>
      </c>
      <c r="C1783" s="1" t="s">
        <v>1468</v>
      </c>
      <c r="D1783" s="1" t="s">
        <v>0</v>
      </c>
      <c r="E1783" s="1" t="s">
        <v>12</v>
      </c>
      <c r="F1783" s="2" t="s">
        <v>0</v>
      </c>
      <c r="G1783" s="3">
        <v>15.02</v>
      </c>
    </row>
    <row r="1784" spans="1:7" ht="72" x14ac:dyDescent="0.25">
      <c r="A1784" s="2" t="str">
        <f>"00087205"</f>
        <v>00087205</v>
      </c>
      <c r="B1784" s="2" t="str">
        <f t="shared" si="66"/>
        <v xml:space="preserve">  </v>
      </c>
      <c r="C1784" s="1" t="s">
        <v>1469</v>
      </c>
      <c r="D1784" s="1" t="s">
        <v>0</v>
      </c>
      <c r="E1784" s="1" t="s">
        <v>12</v>
      </c>
      <c r="F1784" s="2" t="s">
        <v>0</v>
      </c>
      <c r="G1784" s="3">
        <v>4.2699999999999996</v>
      </c>
    </row>
    <row r="1785" spans="1:7" ht="100.5" x14ac:dyDescent="0.25">
      <c r="A1785" s="2" t="str">
        <f>"00087206"</f>
        <v>00087206</v>
      </c>
      <c r="B1785" s="2" t="str">
        <f t="shared" si="66"/>
        <v xml:space="preserve">  </v>
      </c>
      <c r="C1785" s="1" t="s">
        <v>1470</v>
      </c>
      <c r="D1785" s="1" t="s">
        <v>0</v>
      </c>
      <c r="E1785" s="1" t="s">
        <v>12</v>
      </c>
      <c r="F1785" s="2" t="s">
        <v>0</v>
      </c>
      <c r="G1785" s="3">
        <v>5.39</v>
      </c>
    </row>
    <row r="1786" spans="1:7" ht="100.5" x14ac:dyDescent="0.25">
      <c r="A1786" s="2" t="str">
        <f>"00087207"</f>
        <v>00087207</v>
      </c>
      <c r="B1786" s="2" t="str">
        <f t="shared" si="66"/>
        <v xml:space="preserve">  </v>
      </c>
      <c r="C1786" s="1" t="s">
        <v>1471</v>
      </c>
      <c r="D1786" s="1" t="s">
        <v>0</v>
      </c>
      <c r="E1786" s="1" t="s">
        <v>12</v>
      </c>
      <c r="F1786" s="2" t="s">
        <v>0</v>
      </c>
      <c r="G1786" s="3">
        <v>5.99</v>
      </c>
    </row>
    <row r="1787" spans="1:7" ht="86.25" x14ac:dyDescent="0.25">
      <c r="A1787" s="2" t="str">
        <f>"00087209"</f>
        <v>00087209</v>
      </c>
      <c r="B1787" s="2" t="str">
        <f t="shared" si="66"/>
        <v xml:space="preserve">  </v>
      </c>
      <c r="C1787" s="1" t="s">
        <v>1472</v>
      </c>
      <c r="D1787" s="1" t="s">
        <v>0</v>
      </c>
      <c r="E1787" s="1" t="s">
        <v>12</v>
      </c>
      <c r="F1787" s="2" t="s">
        <v>0</v>
      </c>
      <c r="G1787" s="3">
        <v>17.98</v>
      </c>
    </row>
    <row r="1788" spans="1:7" ht="86.25" x14ac:dyDescent="0.25">
      <c r="A1788" s="2" t="str">
        <f>"00087210"</f>
        <v>00087210</v>
      </c>
      <c r="B1788" s="2" t="str">
        <f t="shared" si="66"/>
        <v xml:space="preserve">  </v>
      </c>
      <c r="C1788" s="1" t="s">
        <v>1473</v>
      </c>
      <c r="D1788" s="1" t="s">
        <v>0</v>
      </c>
      <c r="E1788" s="1" t="s">
        <v>12</v>
      </c>
      <c r="F1788" s="2" t="s">
        <v>0</v>
      </c>
      <c r="G1788" s="3">
        <v>5.82</v>
      </c>
    </row>
    <row r="1789" spans="1:7" ht="86.25" x14ac:dyDescent="0.25">
      <c r="A1789" s="2" t="str">
        <f>"00087210"</f>
        <v>00087210</v>
      </c>
      <c r="B1789" s="2" t="str">
        <f>"QW"</f>
        <v>QW</v>
      </c>
      <c r="C1789" s="1" t="s">
        <v>1474</v>
      </c>
      <c r="D1789" s="1" t="s">
        <v>0</v>
      </c>
      <c r="E1789" s="1" t="s">
        <v>12</v>
      </c>
      <c r="F1789" s="2" t="s">
        <v>0</v>
      </c>
      <c r="G1789" s="3">
        <v>5.82</v>
      </c>
    </row>
    <row r="1790" spans="1:7" ht="86.25" x14ac:dyDescent="0.25">
      <c r="A1790" s="2" t="str">
        <f>"00087220"</f>
        <v>00087220</v>
      </c>
      <c r="B1790" s="2" t="str">
        <f t="shared" ref="B1790:B1828" si="67">"  "</f>
        <v xml:space="preserve">  </v>
      </c>
      <c r="C1790" s="1" t="s">
        <v>1475</v>
      </c>
      <c r="D1790" s="1" t="s">
        <v>0</v>
      </c>
      <c r="E1790" s="1" t="s">
        <v>12</v>
      </c>
      <c r="F1790" s="2" t="s">
        <v>0</v>
      </c>
      <c r="G1790" s="3">
        <v>4.2699999999999996</v>
      </c>
    </row>
    <row r="1791" spans="1:7" ht="57.75" x14ac:dyDescent="0.25">
      <c r="A1791" s="2" t="str">
        <f>"00087230"</f>
        <v>00087230</v>
      </c>
      <c r="B1791" s="2" t="str">
        <f t="shared" si="67"/>
        <v xml:space="preserve">  </v>
      </c>
      <c r="C1791" s="1" t="s">
        <v>1476</v>
      </c>
      <c r="D1791" s="1" t="s">
        <v>0</v>
      </c>
      <c r="E1791" s="1" t="s">
        <v>12</v>
      </c>
      <c r="F1791" s="2" t="s">
        <v>0</v>
      </c>
      <c r="G1791" s="3">
        <v>19.739999999999998</v>
      </c>
    </row>
    <row r="1792" spans="1:7" ht="86.25" x14ac:dyDescent="0.25">
      <c r="A1792" s="2" t="str">
        <f>"00087250"</f>
        <v>00087250</v>
      </c>
      <c r="B1792" s="2" t="str">
        <f t="shared" si="67"/>
        <v xml:space="preserve">  </v>
      </c>
      <c r="C1792" s="1" t="s">
        <v>1477</v>
      </c>
      <c r="D1792" s="1" t="s">
        <v>0</v>
      </c>
      <c r="E1792" s="1" t="s">
        <v>12</v>
      </c>
      <c r="F1792" s="2" t="s">
        <v>0</v>
      </c>
      <c r="G1792" s="3">
        <v>19.559999999999999</v>
      </c>
    </row>
    <row r="1793" spans="1:7" ht="86.25" x14ac:dyDescent="0.25">
      <c r="A1793" s="2" t="str">
        <f>"00087252"</f>
        <v>00087252</v>
      </c>
      <c r="B1793" s="2" t="str">
        <f t="shared" si="67"/>
        <v xml:space="preserve">  </v>
      </c>
      <c r="C1793" s="1" t="s">
        <v>1478</v>
      </c>
      <c r="D1793" s="1" t="s">
        <v>0</v>
      </c>
      <c r="E1793" s="1" t="s">
        <v>12</v>
      </c>
      <c r="F1793" s="2" t="s">
        <v>0</v>
      </c>
      <c r="G1793" s="3">
        <v>26.07</v>
      </c>
    </row>
    <row r="1794" spans="1:7" ht="57.75" x14ac:dyDescent="0.25">
      <c r="A1794" s="2" t="str">
        <f>"00087253"</f>
        <v>00087253</v>
      </c>
      <c r="B1794" s="2" t="str">
        <f t="shared" si="67"/>
        <v xml:space="preserve">  </v>
      </c>
      <c r="C1794" s="1" t="s">
        <v>1479</v>
      </c>
      <c r="D1794" s="1" t="s">
        <v>0</v>
      </c>
      <c r="E1794" s="1" t="s">
        <v>12</v>
      </c>
      <c r="F1794" s="2" t="s">
        <v>0</v>
      </c>
      <c r="G1794" s="3">
        <v>20.2</v>
      </c>
    </row>
    <row r="1795" spans="1:7" ht="100.5" x14ac:dyDescent="0.25">
      <c r="A1795" s="2" t="str">
        <f>"00087254"</f>
        <v>00087254</v>
      </c>
      <c r="B1795" s="2" t="str">
        <f t="shared" si="67"/>
        <v xml:space="preserve">  </v>
      </c>
      <c r="C1795" s="1" t="s">
        <v>1480</v>
      </c>
      <c r="D1795" s="1" t="s">
        <v>0</v>
      </c>
      <c r="E1795" s="1" t="s">
        <v>12</v>
      </c>
      <c r="F1795" s="2" t="s">
        <v>0</v>
      </c>
      <c r="G1795" s="3">
        <v>19.559999999999999</v>
      </c>
    </row>
    <row r="1796" spans="1:7" ht="100.5" x14ac:dyDescent="0.25">
      <c r="A1796" s="2" t="str">
        <f>"00087255"</f>
        <v>00087255</v>
      </c>
      <c r="B1796" s="2" t="str">
        <f t="shared" si="67"/>
        <v xml:space="preserve">  </v>
      </c>
      <c r="C1796" s="1" t="s">
        <v>1481</v>
      </c>
      <c r="D1796" s="1" t="s">
        <v>0</v>
      </c>
      <c r="E1796" s="1" t="s">
        <v>12</v>
      </c>
      <c r="F1796" s="2" t="s">
        <v>0</v>
      </c>
      <c r="G1796" s="3">
        <v>33.86</v>
      </c>
    </row>
    <row r="1797" spans="1:7" ht="57.75" x14ac:dyDescent="0.25">
      <c r="A1797" s="2" t="str">
        <f>"00087260"</f>
        <v>00087260</v>
      </c>
      <c r="B1797" s="2" t="str">
        <f t="shared" si="67"/>
        <v xml:space="preserve">  </v>
      </c>
      <c r="C1797" s="1" t="s">
        <v>1482</v>
      </c>
      <c r="D1797" s="1" t="s">
        <v>0</v>
      </c>
      <c r="E1797" s="1" t="s">
        <v>12</v>
      </c>
      <c r="F1797" s="2" t="s">
        <v>0</v>
      </c>
      <c r="G1797" s="3">
        <v>14.43</v>
      </c>
    </row>
    <row r="1798" spans="1:7" ht="100.5" x14ac:dyDescent="0.25">
      <c r="A1798" s="2" t="str">
        <f>"00087265"</f>
        <v>00087265</v>
      </c>
      <c r="B1798" s="2" t="str">
        <f t="shared" si="67"/>
        <v xml:space="preserve">  </v>
      </c>
      <c r="C1798" s="1" t="s">
        <v>1483</v>
      </c>
      <c r="D1798" s="1" t="s">
        <v>0</v>
      </c>
      <c r="E1798" s="1" t="s">
        <v>12</v>
      </c>
      <c r="F1798" s="2" t="s">
        <v>0</v>
      </c>
      <c r="G1798" s="3">
        <v>11.98</v>
      </c>
    </row>
    <row r="1799" spans="1:7" ht="86.25" x14ac:dyDescent="0.25">
      <c r="A1799" s="2" t="str">
        <f>"00087267"</f>
        <v>00087267</v>
      </c>
      <c r="B1799" s="2" t="str">
        <f t="shared" si="67"/>
        <v xml:space="preserve">  </v>
      </c>
      <c r="C1799" s="1" t="s">
        <v>1484</v>
      </c>
      <c r="D1799" s="1" t="s">
        <v>0</v>
      </c>
      <c r="E1799" s="1" t="s">
        <v>12</v>
      </c>
      <c r="F1799" s="2" t="s">
        <v>0</v>
      </c>
      <c r="G1799" s="3">
        <v>13.42</v>
      </c>
    </row>
    <row r="1800" spans="1:7" ht="57.75" x14ac:dyDescent="0.25">
      <c r="A1800" s="2" t="str">
        <f>"00087269"</f>
        <v>00087269</v>
      </c>
      <c r="B1800" s="2" t="str">
        <f t="shared" si="67"/>
        <v xml:space="preserve">  </v>
      </c>
      <c r="C1800" s="1" t="s">
        <v>1485</v>
      </c>
      <c r="D1800" s="1" t="s">
        <v>0</v>
      </c>
      <c r="E1800" s="1" t="s">
        <v>12</v>
      </c>
      <c r="F1800" s="2" t="s">
        <v>0</v>
      </c>
      <c r="G1800" s="3">
        <v>13.61</v>
      </c>
    </row>
    <row r="1801" spans="1:7" ht="72" x14ac:dyDescent="0.25">
      <c r="A1801" s="2" t="str">
        <f>"00087270"</f>
        <v>00087270</v>
      </c>
      <c r="B1801" s="2" t="str">
        <f t="shared" si="67"/>
        <v xml:space="preserve">  </v>
      </c>
      <c r="C1801" s="1" t="s">
        <v>1486</v>
      </c>
      <c r="D1801" s="1" t="s">
        <v>0</v>
      </c>
      <c r="E1801" s="1" t="s">
        <v>12</v>
      </c>
      <c r="F1801" s="2" t="s">
        <v>0</v>
      </c>
      <c r="G1801" s="3">
        <v>11.98</v>
      </c>
    </row>
    <row r="1802" spans="1:7" ht="100.5" x14ac:dyDescent="0.25">
      <c r="A1802" s="2" t="str">
        <f>"00087271"</f>
        <v>00087271</v>
      </c>
      <c r="B1802" s="2" t="str">
        <f t="shared" si="67"/>
        <v xml:space="preserve">  </v>
      </c>
      <c r="C1802" s="1" t="s">
        <v>1487</v>
      </c>
      <c r="D1802" s="1" t="s">
        <v>0</v>
      </c>
      <c r="E1802" s="1" t="s">
        <v>12</v>
      </c>
      <c r="F1802" s="2" t="s">
        <v>0</v>
      </c>
      <c r="G1802" s="3">
        <v>13.42</v>
      </c>
    </row>
    <row r="1803" spans="1:7" ht="72" x14ac:dyDescent="0.25">
      <c r="A1803" s="2" t="str">
        <f>"00087272"</f>
        <v>00087272</v>
      </c>
      <c r="B1803" s="2" t="str">
        <f t="shared" si="67"/>
        <v xml:space="preserve">  </v>
      </c>
      <c r="C1803" s="1" t="s">
        <v>1488</v>
      </c>
      <c r="D1803" s="1" t="s">
        <v>0</v>
      </c>
      <c r="E1803" s="1" t="s">
        <v>12</v>
      </c>
      <c r="F1803" s="2" t="s">
        <v>0</v>
      </c>
      <c r="G1803" s="3">
        <v>11.98</v>
      </c>
    </row>
    <row r="1804" spans="1:7" ht="72" x14ac:dyDescent="0.25">
      <c r="A1804" s="2" t="str">
        <f>"00087273"</f>
        <v>00087273</v>
      </c>
      <c r="B1804" s="2" t="str">
        <f t="shared" si="67"/>
        <v xml:space="preserve">  </v>
      </c>
      <c r="C1804" s="1" t="s">
        <v>1489</v>
      </c>
      <c r="D1804" s="1" t="s">
        <v>0</v>
      </c>
      <c r="E1804" s="1" t="s">
        <v>12</v>
      </c>
      <c r="F1804" s="2" t="s">
        <v>0</v>
      </c>
      <c r="G1804" s="3">
        <v>11.98</v>
      </c>
    </row>
    <row r="1805" spans="1:7" ht="72" x14ac:dyDescent="0.25">
      <c r="A1805" s="2" t="str">
        <f>"00087274"</f>
        <v>00087274</v>
      </c>
      <c r="B1805" s="2" t="str">
        <f t="shared" si="67"/>
        <v xml:space="preserve">  </v>
      </c>
      <c r="C1805" s="1" t="s">
        <v>1490</v>
      </c>
      <c r="D1805" s="1" t="s">
        <v>0</v>
      </c>
      <c r="E1805" s="1" t="s">
        <v>12</v>
      </c>
      <c r="F1805" s="2" t="s">
        <v>0</v>
      </c>
      <c r="G1805" s="3">
        <v>11.98</v>
      </c>
    </row>
    <row r="1806" spans="1:7" ht="72" x14ac:dyDescent="0.25">
      <c r="A1806" s="2" t="str">
        <f>"00087275"</f>
        <v>00087275</v>
      </c>
      <c r="B1806" s="2" t="str">
        <f t="shared" si="67"/>
        <v xml:space="preserve">  </v>
      </c>
      <c r="C1806" s="1" t="s">
        <v>1491</v>
      </c>
      <c r="D1806" s="1" t="s">
        <v>0</v>
      </c>
      <c r="E1806" s="1" t="s">
        <v>12</v>
      </c>
      <c r="F1806" s="2" t="s">
        <v>0</v>
      </c>
      <c r="G1806" s="3">
        <v>12.25</v>
      </c>
    </row>
    <row r="1807" spans="1:7" ht="72" x14ac:dyDescent="0.25">
      <c r="A1807" s="2" t="str">
        <f>"00087276"</f>
        <v>00087276</v>
      </c>
      <c r="B1807" s="2" t="str">
        <f t="shared" si="67"/>
        <v xml:space="preserve">  </v>
      </c>
      <c r="C1807" s="1" t="s">
        <v>1492</v>
      </c>
      <c r="D1807" s="1" t="s">
        <v>0</v>
      </c>
      <c r="E1807" s="1" t="s">
        <v>12</v>
      </c>
      <c r="F1807" s="2" t="s">
        <v>0</v>
      </c>
      <c r="G1807" s="3">
        <v>16.07</v>
      </c>
    </row>
    <row r="1808" spans="1:7" ht="86.25" x14ac:dyDescent="0.25">
      <c r="A1808" s="2" t="str">
        <f>"00087278"</f>
        <v>00087278</v>
      </c>
      <c r="B1808" s="2" t="str">
        <f t="shared" si="67"/>
        <v xml:space="preserve">  </v>
      </c>
      <c r="C1808" s="1" t="s">
        <v>1493</v>
      </c>
      <c r="D1808" s="1" t="s">
        <v>0</v>
      </c>
      <c r="E1808" s="1" t="s">
        <v>12</v>
      </c>
      <c r="F1808" s="2" t="s">
        <v>0</v>
      </c>
      <c r="G1808" s="3">
        <v>15.6</v>
      </c>
    </row>
    <row r="1809" spans="1:7" ht="86.25" x14ac:dyDescent="0.25">
      <c r="A1809" s="2" t="str">
        <f>"00087279"</f>
        <v>00087279</v>
      </c>
      <c r="B1809" s="2" t="str">
        <f t="shared" si="67"/>
        <v xml:space="preserve">  </v>
      </c>
      <c r="C1809" s="1" t="s">
        <v>1494</v>
      </c>
      <c r="D1809" s="1" t="s">
        <v>0</v>
      </c>
      <c r="E1809" s="1" t="s">
        <v>12</v>
      </c>
      <c r="F1809" s="2" t="s">
        <v>0</v>
      </c>
      <c r="G1809" s="3">
        <v>16.43</v>
      </c>
    </row>
    <row r="1810" spans="1:7" ht="86.25" x14ac:dyDescent="0.25">
      <c r="A1810" s="2" t="str">
        <f>"00087280"</f>
        <v>00087280</v>
      </c>
      <c r="B1810" s="2" t="str">
        <f t="shared" si="67"/>
        <v xml:space="preserve">  </v>
      </c>
      <c r="C1810" s="1" t="s">
        <v>1495</v>
      </c>
      <c r="D1810" s="1" t="s">
        <v>0</v>
      </c>
      <c r="E1810" s="1" t="s">
        <v>12</v>
      </c>
      <c r="F1810" s="2" t="s">
        <v>0</v>
      </c>
      <c r="G1810" s="3">
        <v>13.42</v>
      </c>
    </row>
    <row r="1811" spans="1:7" ht="72" x14ac:dyDescent="0.25">
      <c r="A1811" s="2" t="str">
        <f>"00087281"</f>
        <v>00087281</v>
      </c>
      <c r="B1811" s="2" t="str">
        <f t="shared" si="67"/>
        <v xml:space="preserve">  </v>
      </c>
      <c r="C1811" s="1" t="s">
        <v>1496</v>
      </c>
      <c r="D1811" s="1" t="s">
        <v>0</v>
      </c>
      <c r="E1811" s="1" t="s">
        <v>12</v>
      </c>
      <c r="F1811" s="2" t="s">
        <v>0</v>
      </c>
      <c r="G1811" s="3">
        <v>11.98</v>
      </c>
    </row>
    <row r="1812" spans="1:7" ht="57.75" x14ac:dyDescent="0.25">
      <c r="A1812" s="2" t="str">
        <f>"00087283"</f>
        <v>00087283</v>
      </c>
      <c r="B1812" s="2" t="str">
        <f t="shared" si="67"/>
        <v xml:space="preserve">  </v>
      </c>
      <c r="C1812" s="1" t="s">
        <v>1497</v>
      </c>
      <c r="D1812" s="1" t="s">
        <v>0</v>
      </c>
      <c r="E1812" s="1" t="s">
        <v>12</v>
      </c>
      <c r="F1812" s="2" t="s">
        <v>0</v>
      </c>
      <c r="G1812" s="3">
        <v>60.8</v>
      </c>
    </row>
    <row r="1813" spans="1:7" ht="86.25" x14ac:dyDescent="0.25">
      <c r="A1813" s="2" t="str">
        <f>"00087285"</f>
        <v>00087285</v>
      </c>
      <c r="B1813" s="2" t="str">
        <f t="shared" si="67"/>
        <v xml:space="preserve">  </v>
      </c>
      <c r="C1813" s="1" t="s">
        <v>1498</v>
      </c>
      <c r="D1813" s="1" t="s">
        <v>0</v>
      </c>
      <c r="E1813" s="1" t="s">
        <v>12</v>
      </c>
      <c r="F1813" s="2" t="s">
        <v>0</v>
      </c>
      <c r="G1813" s="3">
        <v>12.18</v>
      </c>
    </row>
    <row r="1814" spans="1:7" ht="72" x14ac:dyDescent="0.25">
      <c r="A1814" s="2" t="str">
        <f>"00087290"</f>
        <v>00087290</v>
      </c>
      <c r="B1814" s="2" t="str">
        <f t="shared" si="67"/>
        <v xml:space="preserve">  </v>
      </c>
      <c r="C1814" s="1" t="s">
        <v>1499</v>
      </c>
      <c r="D1814" s="1" t="s">
        <v>0</v>
      </c>
      <c r="E1814" s="1" t="s">
        <v>12</v>
      </c>
      <c r="F1814" s="2" t="s">
        <v>0</v>
      </c>
      <c r="G1814" s="3">
        <v>13.42</v>
      </c>
    </row>
    <row r="1815" spans="1:7" ht="100.5" x14ac:dyDescent="0.25">
      <c r="A1815" s="2" t="str">
        <f>"00087299"</f>
        <v>00087299</v>
      </c>
      <c r="B1815" s="2" t="str">
        <f t="shared" si="67"/>
        <v xml:space="preserve">  </v>
      </c>
      <c r="C1815" s="1" t="s">
        <v>1500</v>
      </c>
      <c r="D1815" s="1" t="s">
        <v>0</v>
      </c>
      <c r="E1815" s="1" t="s">
        <v>12</v>
      </c>
      <c r="F1815" s="2" t="s">
        <v>0</v>
      </c>
      <c r="G1815" s="3">
        <v>16.100000000000001</v>
      </c>
    </row>
    <row r="1816" spans="1:7" ht="100.5" x14ac:dyDescent="0.25">
      <c r="A1816" s="2" t="str">
        <f>"00087300"</f>
        <v>00087300</v>
      </c>
      <c r="B1816" s="2" t="str">
        <f t="shared" si="67"/>
        <v xml:space="preserve">  </v>
      </c>
      <c r="C1816" s="1" t="s">
        <v>1501</v>
      </c>
      <c r="D1816" s="1" t="s">
        <v>0</v>
      </c>
      <c r="E1816" s="1" t="s">
        <v>12</v>
      </c>
      <c r="F1816" s="2" t="s">
        <v>0</v>
      </c>
      <c r="G1816" s="3">
        <v>11.98</v>
      </c>
    </row>
    <row r="1817" spans="1:7" ht="100.5" x14ac:dyDescent="0.25">
      <c r="A1817" s="2" t="str">
        <f>"00087301"</f>
        <v>00087301</v>
      </c>
      <c r="B1817" s="2" t="str">
        <f t="shared" si="67"/>
        <v xml:space="preserve">  </v>
      </c>
      <c r="C1817" s="1" t="s">
        <v>1502</v>
      </c>
      <c r="D1817" s="1" t="s">
        <v>0</v>
      </c>
      <c r="E1817" s="1" t="s">
        <v>12</v>
      </c>
      <c r="F1817" s="2" t="s">
        <v>0</v>
      </c>
      <c r="G1817" s="3">
        <v>11.98</v>
      </c>
    </row>
    <row r="1818" spans="1:7" ht="100.5" x14ac:dyDescent="0.25">
      <c r="A1818" s="2" t="str">
        <f>"00087305"</f>
        <v>00087305</v>
      </c>
      <c r="B1818" s="2" t="str">
        <f t="shared" si="67"/>
        <v xml:space="preserve">  </v>
      </c>
      <c r="C1818" s="1" t="s">
        <v>1503</v>
      </c>
      <c r="D1818" s="1" t="s">
        <v>0</v>
      </c>
      <c r="E1818" s="1" t="s">
        <v>12</v>
      </c>
      <c r="F1818" s="2" t="s">
        <v>0</v>
      </c>
      <c r="G1818" s="3">
        <v>11.98</v>
      </c>
    </row>
    <row r="1819" spans="1:7" ht="57.75" x14ac:dyDescent="0.25">
      <c r="A1819" s="2" t="str">
        <f>"00087320"</f>
        <v>00087320</v>
      </c>
      <c r="B1819" s="2" t="str">
        <f t="shared" si="67"/>
        <v xml:space="preserve">  </v>
      </c>
      <c r="C1819" s="1" t="s">
        <v>1504</v>
      </c>
      <c r="D1819" s="1" t="s">
        <v>0</v>
      </c>
      <c r="E1819" s="1" t="s">
        <v>12</v>
      </c>
      <c r="F1819" s="2" t="s">
        <v>0</v>
      </c>
      <c r="G1819" s="3">
        <v>15</v>
      </c>
    </row>
    <row r="1820" spans="1:7" ht="100.5" x14ac:dyDescent="0.25">
      <c r="A1820" s="2" t="str">
        <f>"00087324"</f>
        <v>00087324</v>
      </c>
      <c r="B1820" s="2" t="str">
        <f t="shared" si="67"/>
        <v xml:space="preserve">  </v>
      </c>
      <c r="C1820" s="1" t="s">
        <v>1505</v>
      </c>
      <c r="D1820" s="1" t="s">
        <v>0</v>
      </c>
      <c r="E1820" s="1" t="s">
        <v>12</v>
      </c>
      <c r="F1820" s="2" t="s">
        <v>0</v>
      </c>
      <c r="G1820" s="3">
        <v>11.98</v>
      </c>
    </row>
    <row r="1821" spans="1:7" ht="114.75" x14ac:dyDescent="0.25">
      <c r="A1821" s="2" t="str">
        <f>"00087327"</f>
        <v>00087327</v>
      </c>
      <c r="B1821" s="2" t="str">
        <f t="shared" si="67"/>
        <v xml:space="preserve">  </v>
      </c>
      <c r="C1821" s="1" t="s">
        <v>1506</v>
      </c>
      <c r="D1821" s="1" t="s">
        <v>0</v>
      </c>
      <c r="E1821" s="1" t="s">
        <v>12</v>
      </c>
      <c r="F1821" s="2" t="s">
        <v>0</v>
      </c>
      <c r="G1821" s="3">
        <v>13.42</v>
      </c>
    </row>
    <row r="1822" spans="1:7" ht="100.5" x14ac:dyDescent="0.25">
      <c r="A1822" s="2" t="str">
        <f>"00087328"</f>
        <v>00087328</v>
      </c>
      <c r="B1822" s="2" t="str">
        <f t="shared" si="67"/>
        <v xml:space="preserve">  </v>
      </c>
      <c r="C1822" s="1" t="s">
        <v>1507</v>
      </c>
      <c r="D1822" s="1" t="s">
        <v>0</v>
      </c>
      <c r="E1822" s="1" t="s">
        <v>12</v>
      </c>
      <c r="F1822" s="2" t="s">
        <v>0</v>
      </c>
      <c r="G1822" s="3">
        <v>13.82</v>
      </c>
    </row>
    <row r="1823" spans="1:7" ht="100.5" x14ac:dyDescent="0.25">
      <c r="A1823" s="2" t="str">
        <f>"00087329"</f>
        <v>00087329</v>
      </c>
      <c r="B1823" s="2" t="str">
        <f t="shared" si="67"/>
        <v xml:space="preserve">  </v>
      </c>
      <c r="C1823" s="1" t="s">
        <v>1508</v>
      </c>
      <c r="D1823" s="1" t="s">
        <v>0</v>
      </c>
      <c r="E1823" s="1" t="s">
        <v>12</v>
      </c>
      <c r="F1823" s="2" t="s">
        <v>0</v>
      </c>
      <c r="G1823" s="3">
        <v>11.98</v>
      </c>
    </row>
    <row r="1824" spans="1:7" ht="72" x14ac:dyDescent="0.25">
      <c r="A1824" s="2" t="str">
        <f>"00087332"</f>
        <v>00087332</v>
      </c>
      <c r="B1824" s="2" t="str">
        <f t="shared" si="67"/>
        <v xml:space="preserve">  </v>
      </c>
      <c r="C1824" s="1" t="s">
        <v>1509</v>
      </c>
      <c r="D1824" s="1" t="s">
        <v>0</v>
      </c>
      <c r="E1824" s="1" t="s">
        <v>12</v>
      </c>
      <c r="F1824" s="2" t="s">
        <v>0</v>
      </c>
      <c r="G1824" s="3">
        <v>11.98</v>
      </c>
    </row>
    <row r="1825" spans="1:7" ht="72" x14ac:dyDescent="0.25">
      <c r="A1825" s="2" t="str">
        <f>"00087335"</f>
        <v>00087335</v>
      </c>
      <c r="B1825" s="2" t="str">
        <f t="shared" si="67"/>
        <v xml:space="preserve">  </v>
      </c>
      <c r="C1825" s="1" t="s">
        <v>1510</v>
      </c>
      <c r="D1825" s="1" t="s">
        <v>0</v>
      </c>
      <c r="E1825" s="1" t="s">
        <v>12</v>
      </c>
      <c r="F1825" s="2" t="s">
        <v>0</v>
      </c>
      <c r="G1825" s="3">
        <v>12.66</v>
      </c>
    </row>
    <row r="1826" spans="1:7" ht="100.5" x14ac:dyDescent="0.25">
      <c r="A1826" s="2" t="str">
        <f>"00087336"</f>
        <v>00087336</v>
      </c>
      <c r="B1826" s="2" t="str">
        <f t="shared" si="67"/>
        <v xml:space="preserve">  </v>
      </c>
      <c r="C1826" s="1" t="s">
        <v>1511</v>
      </c>
      <c r="D1826" s="1" t="s">
        <v>0</v>
      </c>
      <c r="E1826" s="1" t="s">
        <v>12</v>
      </c>
      <c r="F1826" s="2" t="s">
        <v>0</v>
      </c>
      <c r="G1826" s="3">
        <v>16</v>
      </c>
    </row>
    <row r="1827" spans="1:7" ht="100.5" x14ac:dyDescent="0.25">
      <c r="A1827" s="2" t="str">
        <f>"00087337"</f>
        <v>00087337</v>
      </c>
      <c r="B1827" s="2" t="str">
        <f t="shared" si="67"/>
        <v xml:space="preserve">  </v>
      </c>
      <c r="C1827" s="1" t="s">
        <v>1511</v>
      </c>
      <c r="D1827" s="1" t="s">
        <v>0</v>
      </c>
      <c r="E1827" s="1" t="s">
        <v>12</v>
      </c>
      <c r="F1827" s="2" t="s">
        <v>0</v>
      </c>
      <c r="G1827" s="3">
        <v>11.98</v>
      </c>
    </row>
    <row r="1828" spans="1:7" ht="129" x14ac:dyDescent="0.25">
      <c r="A1828" s="2" t="str">
        <f>"00087338"</f>
        <v>00087338</v>
      </c>
      <c r="B1828" s="2" t="str">
        <f t="shared" si="67"/>
        <v xml:space="preserve">  </v>
      </c>
      <c r="C1828" s="1" t="s">
        <v>1512</v>
      </c>
      <c r="D1828" s="1" t="s">
        <v>0</v>
      </c>
      <c r="E1828" s="1" t="s">
        <v>12</v>
      </c>
      <c r="F1828" s="2" t="s">
        <v>0</v>
      </c>
      <c r="G1828" s="3">
        <v>14.38</v>
      </c>
    </row>
    <row r="1829" spans="1:7" ht="114.75" x14ac:dyDescent="0.25">
      <c r="A1829" s="2" t="str">
        <f>"00087338"</f>
        <v>00087338</v>
      </c>
      <c r="B1829" s="2" t="str">
        <f>"QW"</f>
        <v>QW</v>
      </c>
      <c r="C1829" s="1" t="s">
        <v>1513</v>
      </c>
      <c r="D1829" s="1" t="s">
        <v>0</v>
      </c>
      <c r="E1829" s="1" t="s">
        <v>12</v>
      </c>
      <c r="F1829" s="2" t="s">
        <v>0</v>
      </c>
      <c r="G1829" s="3">
        <v>14.38</v>
      </c>
    </row>
    <row r="1830" spans="1:7" ht="100.5" x14ac:dyDescent="0.25">
      <c r="A1830" s="2" t="str">
        <f>"00087339"</f>
        <v>00087339</v>
      </c>
      <c r="B1830" s="2" t="str">
        <f t="shared" ref="B1830:B1836" si="68">"  "</f>
        <v xml:space="preserve">  </v>
      </c>
      <c r="C1830" s="1" t="s">
        <v>1514</v>
      </c>
      <c r="D1830" s="1" t="s">
        <v>0</v>
      </c>
      <c r="E1830" s="1" t="s">
        <v>12</v>
      </c>
      <c r="F1830" s="2" t="s">
        <v>0</v>
      </c>
      <c r="G1830" s="3">
        <v>16</v>
      </c>
    </row>
    <row r="1831" spans="1:7" ht="86.25" x14ac:dyDescent="0.25">
      <c r="A1831" s="2" t="str">
        <f>"00087340"</f>
        <v>00087340</v>
      </c>
      <c r="B1831" s="2" t="str">
        <f t="shared" si="68"/>
        <v xml:space="preserve">  </v>
      </c>
      <c r="C1831" s="1" t="s">
        <v>1515</v>
      </c>
      <c r="D1831" s="1" t="s">
        <v>0</v>
      </c>
      <c r="E1831" s="1" t="s">
        <v>12</v>
      </c>
      <c r="F1831" s="2" t="s">
        <v>0</v>
      </c>
      <c r="G1831" s="3">
        <v>10.33</v>
      </c>
    </row>
    <row r="1832" spans="1:7" ht="72" x14ac:dyDescent="0.25">
      <c r="A1832" s="2" t="str">
        <f>"00087341"</f>
        <v>00087341</v>
      </c>
      <c r="B1832" s="2" t="str">
        <f t="shared" si="68"/>
        <v xml:space="preserve">  </v>
      </c>
      <c r="C1832" s="1" t="s">
        <v>1516</v>
      </c>
      <c r="D1832" s="1" t="s">
        <v>0</v>
      </c>
      <c r="E1832" s="1" t="s">
        <v>12</v>
      </c>
      <c r="F1832" s="2" t="s">
        <v>0</v>
      </c>
      <c r="G1832" s="3">
        <v>10.33</v>
      </c>
    </row>
    <row r="1833" spans="1:7" ht="72" x14ac:dyDescent="0.25">
      <c r="A1833" s="2" t="str">
        <f>"00087350"</f>
        <v>00087350</v>
      </c>
      <c r="B1833" s="2" t="str">
        <f t="shared" si="68"/>
        <v xml:space="preserve">  </v>
      </c>
      <c r="C1833" s="1" t="s">
        <v>1517</v>
      </c>
      <c r="D1833" s="1" t="s">
        <v>0</v>
      </c>
      <c r="E1833" s="1" t="s">
        <v>12</v>
      </c>
      <c r="F1833" s="2" t="s">
        <v>0</v>
      </c>
      <c r="G1833" s="3">
        <v>11.53</v>
      </c>
    </row>
    <row r="1834" spans="1:7" ht="72" x14ac:dyDescent="0.25">
      <c r="A1834" s="2" t="str">
        <f>"00087380"</f>
        <v>00087380</v>
      </c>
      <c r="B1834" s="2" t="str">
        <f t="shared" si="68"/>
        <v xml:space="preserve">  </v>
      </c>
      <c r="C1834" s="1" t="s">
        <v>1518</v>
      </c>
      <c r="D1834" s="1" t="s">
        <v>0</v>
      </c>
      <c r="E1834" s="1" t="s">
        <v>12</v>
      </c>
      <c r="F1834" s="2" t="s">
        <v>0</v>
      </c>
      <c r="G1834" s="3">
        <v>18.36</v>
      </c>
    </row>
    <row r="1835" spans="1:7" ht="72" x14ac:dyDescent="0.25">
      <c r="A1835" s="2" t="str">
        <f>"00087385"</f>
        <v>00087385</v>
      </c>
      <c r="B1835" s="2" t="str">
        <f t="shared" si="68"/>
        <v xml:space="preserve">  </v>
      </c>
      <c r="C1835" s="1" t="s">
        <v>1519</v>
      </c>
      <c r="D1835" s="1" t="s">
        <v>0</v>
      </c>
      <c r="E1835" s="1" t="s">
        <v>12</v>
      </c>
      <c r="F1835" s="2" t="s">
        <v>0</v>
      </c>
      <c r="G1835" s="3">
        <v>13.25</v>
      </c>
    </row>
    <row r="1836" spans="1:7" ht="43.5" x14ac:dyDescent="0.25">
      <c r="A1836" s="2" t="str">
        <f>"00087389"</f>
        <v>00087389</v>
      </c>
      <c r="B1836" s="2" t="str">
        <f t="shared" si="68"/>
        <v xml:space="preserve">  </v>
      </c>
      <c r="C1836" s="1" t="s">
        <v>1520</v>
      </c>
      <c r="D1836" s="1" t="s">
        <v>0</v>
      </c>
      <c r="E1836" s="1" t="s">
        <v>12</v>
      </c>
      <c r="F1836" s="2" t="s">
        <v>0</v>
      </c>
      <c r="G1836" s="3">
        <v>24.08</v>
      </c>
    </row>
    <row r="1837" spans="1:7" ht="43.5" x14ac:dyDescent="0.25">
      <c r="A1837" s="2" t="str">
        <f>"00087389"</f>
        <v>00087389</v>
      </c>
      <c r="B1837" s="2" t="str">
        <f>"QW"</f>
        <v>QW</v>
      </c>
      <c r="C1837" s="1" t="s">
        <v>1521</v>
      </c>
      <c r="D1837" s="1" t="s">
        <v>0</v>
      </c>
      <c r="E1837" s="1" t="s">
        <v>12</v>
      </c>
      <c r="F1837" s="2" t="s">
        <v>0</v>
      </c>
      <c r="G1837" s="3">
        <v>24.08</v>
      </c>
    </row>
    <row r="1838" spans="1:7" ht="57.75" x14ac:dyDescent="0.25">
      <c r="A1838" s="2" t="str">
        <f>"00087390"</f>
        <v>00087390</v>
      </c>
      <c r="B1838" s="2" t="str">
        <f>"  "</f>
        <v xml:space="preserve">  </v>
      </c>
      <c r="C1838" s="1" t="s">
        <v>1522</v>
      </c>
      <c r="D1838" s="1" t="s">
        <v>0</v>
      </c>
      <c r="E1838" s="1" t="s">
        <v>12</v>
      </c>
      <c r="F1838" s="2" t="s">
        <v>0</v>
      </c>
      <c r="G1838" s="3">
        <v>24.06</v>
      </c>
    </row>
    <row r="1839" spans="1:7" ht="57.75" x14ac:dyDescent="0.25">
      <c r="A1839" s="2" t="str">
        <f>"00087391"</f>
        <v>00087391</v>
      </c>
      <c r="B1839" s="2" t="str">
        <f>"  "</f>
        <v xml:space="preserve">  </v>
      </c>
      <c r="C1839" s="1" t="s">
        <v>1523</v>
      </c>
      <c r="D1839" s="1" t="s">
        <v>0</v>
      </c>
      <c r="E1839" s="1" t="s">
        <v>12</v>
      </c>
      <c r="F1839" s="2" t="s">
        <v>0</v>
      </c>
      <c r="G1839" s="3">
        <v>21.9</v>
      </c>
    </row>
    <row r="1840" spans="1:7" ht="100.5" x14ac:dyDescent="0.25">
      <c r="A1840" s="2" t="str">
        <f>"00087400"</f>
        <v>00087400</v>
      </c>
      <c r="B1840" s="2" t="str">
        <f>"  "</f>
        <v xml:space="preserve">  </v>
      </c>
      <c r="C1840" s="1" t="s">
        <v>1524</v>
      </c>
      <c r="D1840" s="1" t="s">
        <v>0</v>
      </c>
      <c r="E1840" s="1" t="s">
        <v>12</v>
      </c>
      <c r="F1840" s="2" t="s">
        <v>0</v>
      </c>
      <c r="G1840" s="3">
        <v>14.13</v>
      </c>
    </row>
    <row r="1841" spans="1:8" ht="57.75" x14ac:dyDescent="0.25">
      <c r="A1841" s="2" t="str">
        <f>"00087400"</f>
        <v>00087400</v>
      </c>
      <c r="B1841" s="2" t="str">
        <f>"QW"</f>
        <v>QW</v>
      </c>
      <c r="C1841" s="1" t="s">
        <v>1525</v>
      </c>
      <c r="D1841" s="1" t="s">
        <v>0</v>
      </c>
      <c r="E1841" s="1" t="s">
        <v>12</v>
      </c>
      <c r="F1841" s="2" t="s">
        <v>0</v>
      </c>
      <c r="G1841" s="3">
        <v>14.13</v>
      </c>
    </row>
    <row r="1842" spans="1:8" ht="72" x14ac:dyDescent="0.25">
      <c r="A1842" s="2" t="str">
        <f>"00087420"</f>
        <v>00087420</v>
      </c>
      <c r="B1842" s="2" t="str">
        <f>"  "</f>
        <v xml:space="preserve">  </v>
      </c>
      <c r="C1842" s="1" t="s">
        <v>1526</v>
      </c>
      <c r="D1842" s="1" t="s">
        <v>0</v>
      </c>
      <c r="E1842" s="1" t="s">
        <v>12</v>
      </c>
      <c r="F1842" s="2" t="s">
        <v>0</v>
      </c>
      <c r="G1842" s="3">
        <v>13.91</v>
      </c>
    </row>
    <row r="1843" spans="1:8" ht="72" x14ac:dyDescent="0.25">
      <c r="A1843" s="2" t="str">
        <f>"00087420"</f>
        <v>00087420</v>
      </c>
      <c r="B1843" s="2" t="str">
        <f>"QW"</f>
        <v>QW</v>
      </c>
      <c r="C1843" s="1" t="s">
        <v>1527</v>
      </c>
      <c r="D1843" s="1" t="s">
        <v>0</v>
      </c>
      <c r="E1843" s="1" t="s">
        <v>12</v>
      </c>
      <c r="F1843" s="2" t="s">
        <v>0</v>
      </c>
      <c r="G1843" s="3">
        <v>13.91</v>
      </c>
    </row>
    <row r="1844" spans="1:8" ht="57.75" x14ac:dyDescent="0.25">
      <c r="A1844" s="2" t="str">
        <f>"00087425"</f>
        <v>00087425</v>
      </c>
      <c r="B1844" s="2" t="str">
        <f>"  "</f>
        <v xml:space="preserve">  </v>
      </c>
      <c r="C1844" s="1" t="s">
        <v>1528</v>
      </c>
      <c r="D1844" s="1" t="s">
        <v>0</v>
      </c>
      <c r="E1844" s="1" t="s">
        <v>12</v>
      </c>
      <c r="F1844" s="2" t="s">
        <v>0</v>
      </c>
      <c r="G1844" s="3">
        <v>11.98</v>
      </c>
    </row>
    <row r="1845" spans="1:8" ht="114.75" x14ac:dyDescent="0.25">
      <c r="A1845" s="2" t="str">
        <f>"00087426"</f>
        <v>00087426</v>
      </c>
      <c r="B1845" s="2" t="str">
        <f>"  "</f>
        <v xml:space="preserve">  </v>
      </c>
      <c r="C1845" s="1" t="s">
        <v>1529</v>
      </c>
      <c r="D1845" s="1" t="s">
        <v>0</v>
      </c>
      <c r="E1845" s="1" t="s">
        <v>12</v>
      </c>
      <c r="F1845" s="2" t="s">
        <v>0</v>
      </c>
      <c r="G1845" s="3">
        <v>35.33</v>
      </c>
    </row>
    <row r="1846" spans="1:8" ht="100.5" x14ac:dyDescent="0.25">
      <c r="A1846" s="2" t="str">
        <f>"00087426"</f>
        <v>00087426</v>
      </c>
      <c r="B1846" s="2" t="str">
        <f>"QW"</f>
        <v>QW</v>
      </c>
      <c r="C1846" s="1" t="s">
        <v>1530</v>
      </c>
      <c r="D1846" s="1" t="s">
        <v>0</v>
      </c>
      <c r="E1846" s="1" t="s">
        <v>12</v>
      </c>
      <c r="F1846" s="2" t="s">
        <v>0</v>
      </c>
      <c r="G1846" s="3">
        <v>35.33</v>
      </c>
    </row>
    <row r="1847" spans="1:8" ht="100.5" x14ac:dyDescent="0.25">
      <c r="A1847" s="2" t="str">
        <f>"00087427"</f>
        <v>00087427</v>
      </c>
      <c r="B1847" s="2" t="str">
        <f>"  "</f>
        <v xml:space="preserve">  </v>
      </c>
      <c r="C1847" s="1" t="s">
        <v>1531</v>
      </c>
      <c r="D1847" s="1" t="s">
        <v>0</v>
      </c>
      <c r="E1847" s="1" t="s">
        <v>12</v>
      </c>
      <c r="F1847" s="2" t="s">
        <v>0</v>
      </c>
      <c r="G1847" s="3">
        <v>11.98</v>
      </c>
    </row>
    <row r="1848" spans="1:8" ht="114.75" x14ac:dyDescent="0.25">
      <c r="A1848" s="2" t="str">
        <f>"00087428"</f>
        <v>00087428</v>
      </c>
      <c r="B1848" s="2" t="str">
        <f>"  "</f>
        <v xml:space="preserve">  </v>
      </c>
      <c r="C1848" s="1" t="s">
        <v>1532</v>
      </c>
      <c r="D1848" s="1" t="s">
        <v>0</v>
      </c>
      <c r="E1848" s="1" t="s">
        <v>56</v>
      </c>
      <c r="F1848" s="2" t="s">
        <v>0</v>
      </c>
      <c r="G1848" s="3">
        <v>30.94</v>
      </c>
      <c r="H1848" s="5"/>
    </row>
    <row r="1849" spans="1:8" ht="100.5" x14ac:dyDescent="0.25">
      <c r="A1849" s="2" t="str">
        <f>"00087428"</f>
        <v>00087428</v>
      </c>
      <c r="B1849" s="2" t="str">
        <f>"QW"</f>
        <v>QW</v>
      </c>
      <c r="C1849" s="1" t="s">
        <v>1533</v>
      </c>
      <c r="D1849" s="1" t="s">
        <v>0</v>
      </c>
      <c r="E1849" s="1" t="s">
        <v>12</v>
      </c>
      <c r="F1849" s="2" t="s">
        <v>0</v>
      </c>
      <c r="G1849" s="3">
        <v>30.94</v>
      </c>
      <c r="H1849" s="5"/>
    </row>
    <row r="1850" spans="1:8" ht="72" x14ac:dyDescent="0.25">
      <c r="A1850" s="2" t="str">
        <f>"00087430"</f>
        <v>00087430</v>
      </c>
      <c r="B1850" s="2" t="str">
        <f>"  "</f>
        <v xml:space="preserve">  </v>
      </c>
      <c r="C1850" s="1" t="s">
        <v>1534</v>
      </c>
      <c r="D1850" s="1" t="s">
        <v>0</v>
      </c>
      <c r="E1850" s="1" t="s">
        <v>12</v>
      </c>
      <c r="F1850" s="2" t="s">
        <v>0</v>
      </c>
      <c r="G1850" s="3">
        <v>16.809999999999999</v>
      </c>
    </row>
    <row r="1851" spans="1:8" ht="57.75" x14ac:dyDescent="0.25">
      <c r="A1851" s="2" t="str">
        <f>"00087430"</f>
        <v>00087430</v>
      </c>
      <c r="B1851" s="2" t="str">
        <f>"QW"</f>
        <v>QW</v>
      </c>
      <c r="C1851" s="1" t="s">
        <v>1535</v>
      </c>
      <c r="D1851" s="1" t="s">
        <v>0</v>
      </c>
      <c r="E1851" s="1" t="s">
        <v>12</v>
      </c>
      <c r="F1851" s="2" t="s">
        <v>0</v>
      </c>
      <c r="G1851" s="3">
        <v>16.809999999999999</v>
      </c>
    </row>
    <row r="1852" spans="1:8" ht="72" x14ac:dyDescent="0.25">
      <c r="A1852" s="2" t="str">
        <f>"00087449"</f>
        <v>00087449</v>
      </c>
      <c r="B1852" s="2" t="str">
        <f>"  "</f>
        <v xml:space="preserve">  </v>
      </c>
      <c r="C1852" s="1" t="s">
        <v>1536</v>
      </c>
      <c r="D1852" s="1" t="s">
        <v>0</v>
      </c>
      <c r="E1852" s="1" t="s">
        <v>12</v>
      </c>
      <c r="F1852" s="2" t="s">
        <v>0</v>
      </c>
      <c r="G1852" s="3">
        <v>11.98</v>
      </c>
    </row>
    <row r="1853" spans="1:8" ht="100.5" x14ac:dyDescent="0.25">
      <c r="A1853" s="2" t="str">
        <f>"00087449"</f>
        <v>00087449</v>
      </c>
      <c r="B1853" s="2" t="str">
        <f>"QW"</f>
        <v>QW</v>
      </c>
      <c r="C1853" s="1" t="s">
        <v>1537</v>
      </c>
      <c r="D1853" s="1" t="s">
        <v>0</v>
      </c>
      <c r="E1853" s="1" t="s">
        <v>12</v>
      </c>
      <c r="F1853" s="2" t="s">
        <v>0</v>
      </c>
      <c r="G1853" s="3">
        <v>11.98</v>
      </c>
    </row>
    <row r="1854" spans="1:8" ht="86.25" x14ac:dyDescent="0.25">
      <c r="A1854" s="2" t="str">
        <f>"00087451"</f>
        <v>00087451</v>
      </c>
      <c r="B1854" s="2" t="str">
        <f>"  "</f>
        <v xml:space="preserve">  </v>
      </c>
      <c r="C1854" s="1" t="s">
        <v>1538</v>
      </c>
      <c r="D1854" s="1" t="s">
        <v>0</v>
      </c>
      <c r="E1854" s="1" t="s">
        <v>12</v>
      </c>
      <c r="F1854" s="2" t="s">
        <v>0</v>
      </c>
      <c r="G1854" s="3">
        <v>10.51</v>
      </c>
    </row>
    <row r="1855" spans="1:8" ht="29.25" x14ac:dyDescent="0.25">
      <c r="A1855" s="2" t="str">
        <f>"00087467"</f>
        <v>00087467</v>
      </c>
      <c r="B1855" s="2" t="str">
        <f>"  "</f>
        <v xml:space="preserve">  </v>
      </c>
      <c r="C1855" s="1" t="s">
        <v>1539</v>
      </c>
      <c r="D1855" s="1" t="s">
        <v>0</v>
      </c>
      <c r="E1855" s="1" t="s">
        <v>14</v>
      </c>
      <c r="F1855" s="2" t="s">
        <v>0</v>
      </c>
      <c r="G1855" s="17" t="s">
        <v>1769</v>
      </c>
    </row>
    <row r="1856" spans="1:8" ht="29.25" x14ac:dyDescent="0.25">
      <c r="A1856" s="2" t="str">
        <f>"00087467"</f>
        <v>00087467</v>
      </c>
      <c r="B1856" s="2" t="str">
        <f>"90"</f>
        <v>90</v>
      </c>
      <c r="C1856" s="1" t="s">
        <v>1539</v>
      </c>
      <c r="D1856" s="1" t="s">
        <v>0</v>
      </c>
      <c r="E1856" s="1" t="s">
        <v>14</v>
      </c>
      <c r="F1856" s="2" t="s">
        <v>0</v>
      </c>
      <c r="G1856" s="17" t="s">
        <v>1769</v>
      </c>
    </row>
    <row r="1857" spans="1:7" ht="43.5" x14ac:dyDescent="0.25">
      <c r="A1857" s="2" t="str">
        <f>"00087468"</f>
        <v>00087468</v>
      </c>
      <c r="B1857" s="2" t="str">
        <f>"  "</f>
        <v xml:space="preserve">  </v>
      </c>
      <c r="C1857" s="1" t="s">
        <v>1540</v>
      </c>
      <c r="D1857" s="1" t="s">
        <v>0</v>
      </c>
      <c r="E1857" s="1" t="s">
        <v>12</v>
      </c>
      <c r="F1857" s="2" t="s">
        <v>0</v>
      </c>
      <c r="G1857" s="3">
        <v>35.090000000000003</v>
      </c>
    </row>
    <row r="1858" spans="1:7" ht="43.5" x14ac:dyDescent="0.25">
      <c r="A1858" s="2" t="str">
        <f>"00087468"</f>
        <v>00087468</v>
      </c>
      <c r="B1858" s="2" t="str">
        <f>"90"</f>
        <v>90</v>
      </c>
      <c r="C1858" s="1" t="s">
        <v>1540</v>
      </c>
      <c r="D1858" s="1" t="s">
        <v>0</v>
      </c>
      <c r="E1858" s="1" t="s">
        <v>14</v>
      </c>
      <c r="F1858" s="2" t="s">
        <v>0</v>
      </c>
      <c r="G1858" s="17" t="s">
        <v>1769</v>
      </c>
    </row>
    <row r="1859" spans="1:7" ht="43.5" x14ac:dyDescent="0.25">
      <c r="A1859" s="2" t="str">
        <f>"00087469"</f>
        <v>00087469</v>
      </c>
      <c r="B1859" s="2" t="str">
        <f>"  "</f>
        <v xml:space="preserve">  </v>
      </c>
      <c r="C1859" s="1" t="s">
        <v>1541</v>
      </c>
      <c r="D1859" s="1" t="s">
        <v>0</v>
      </c>
      <c r="E1859" s="1" t="s">
        <v>12</v>
      </c>
      <c r="F1859" s="2" t="s">
        <v>0</v>
      </c>
      <c r="G1859" s="3">
        <v>35.090000000000003</v>
      </c>
    </row>
    <row r="1860" spans="1:7" ht="43.5" x14ac:dyDescent="0.25">
      <c r="A1860" s="2" t="str">
        <f>"00087469"</f>
        <v>00087469</v>
      </c>
      <c r="B1860" s="2" t="str">
        <f>"90"</f>
        <v>90</v>
      </c>
      <c r="C1860" s="1" t="s">
        <v>1541</v>
      </c>
      <c r="D1860" s="1" t="s">
        <v>0</v>
      </c>
      <c r="E1860" s="1" t="s">
        <v>14</v>
      </c>
      <c r="F1860" s="2" t="s">
        <v>0</v>
      </c>
      <c r="G1860" s="17" t="s">
        <v>1769</v>
      </c>
    </row>
    <row r="1861" spans="1:7" ht="86.25" x14ac:dyDescent="0.25">
      <c r="A1861" s="2" t="str">
        <f>"00087471"</f>
        <v>00087471</v>
      </c>
      <c r="B1861" s="2" t="str">
        <f>"  "</f>
        <v xml:space="preserve">  </v>
      </c>
      <c r="C1861" s="1" t="s">
        <v>1542</v>
      </c>
      <c r="D1861" s="1" t="s">
        <v>0</v>
      </c>
      <c r="E1861" s="1" t="s">
        <v>12</v>
      </c>
      <c r="F1861" s="2" t="s">
        <v>0</v>
      </c>
      <c r="G1861" s="3">
        <v>35.090000000000003</v>
      </c>
    </row>
    <row r="1862" spans="1:7" ht="72" x14ac:dyDescent="0.25">
      <c r="A1862" s="2" t="str">
        <f>"00087472"</f>
        <v>00087472</v>
      </c>
      <c r="B1862" s="2" t="str">
        <f>"  "</f>
        <v xml:space="preserve">  </v>
      </c>
      <c r="C1862" s="1" t="s">
        <v>1543</v>
      </c>
      <c r="D1862" s="1" t="s">
        <v>0</v>
      </c>
      <c r="E1862" s="1" t="s">
        <v>12</v>
      </c>
      <c r="F1862" s="2" t="s">
        <v>0</v>
      </c>
      <c r="G1862" s="3">
        <v>42.84</v>
      </c>
    </row>
    <row r="1863" spans="1:7" ht="72" x14ac:dyDescent="0.25">
      <c r="A1863" s="2" t="str">
        <f>"00087475"</f>
        <v>00087475</v>
      </c>
      <c r="B1863" s="2" t="str">
        <f>"  "</f>
        <v xml:space="preserve">  </v>
      </c>
      <c r="C1863" s="1" t="s">
        <v>1544</v>
      </c>
      <c r="D1863" s="1" t="s">
        <v>0</v>
      </c>
      <c r="E1863" s="1" t="s">
        <v>12</v>
      </c>
      <c r="F1863" s="2" t="s">
        <v>0</v>
      </c>
      <c r="G1863" s="3">
        <v>20.05</v>
      </c>
    </row>
    <row r="1864" spans="1:7" ht="72" x14ac:dyDescent="0.25">
      <c r="A1864" s="2" t="str">
        <f>"00087476"</f>
        <v>00087476</v>
      </c>
      <c r="B1864" s="2" t="str">
        <f>"  "</f>
        <v xml:space="preserve">  </v>
      </c>
      <c r="C1864" s="1" t="s">
        <v>1545</v>
      </c>
      <c r="D1864" s="1" t="s">
        <v>0</v>
      </c>
      <c r="E1864" s="1" t="s">
        <v>12</v>
      </c>
      <c r="F1864" s="2" t="s">
        <v>0</v>
      </c>
      <c r="G1864" s="3">
        <v>35.090000000000003</v>
      </c>
    </row>
    <row r="1865" spans="1:7" ht="43.5" x14ac:dyDescent="0.25">
      <c r="A1865" s="2" t="str">
        <f>"00087478"</f>
        <v>00087478</v>
      </c>
      <c r="B1865" s="2" t="str">
        <f>"  "</f>
        <v xml:space="preserve">  </v>
      </c>
      <c r="C1865" s="1" t="s">
        <v>1546</v>
      </c>
      <c r="D1865" s="1" t="s">
        <v>0</v>
      </c>
      <c r="E1865" s="1" t="s">
        <v>12</v>
      </c>
      <c r="F1865" s="2" t="s">
        <v>0</v>
      </c>
      <c r="G1865" s="3">
        <v>35.090000000000003</v>
      </c>
    </row>
    <row r="1866" spans="1:7" ht="43.5" x14ac:dyDescent="0.25">
      <c r="A1866" s="2" t="str">
        <f>"00087478"</f>
        <v>00087478</v>
      </c>
      <c r="B1866" s="2" t="str">
        <f>"90"</f>
        <v>90</v>
      </c>
      <c r="C1866" s="1" t="s">
        <v>1546</v>
      </c>
      <c r="D1866" s="1" t="s">
        <v>0</v>
      </c>
      <c r="E1866" s="1" t="s">
        <v>14</v>
      </c>
      <c r="F1866" s="2" t="s">
        <v>0</v>
      </c>
      <c r="G1866" s="17" t="s">
        <v>1769</v>
      </c>
    </row>
    <row r="1867" spans="1:7" ht="57.75" x14ac:dyDescent="0.25">
      <c r="A1867" s="2" t="str">
        <f>"00087480"</f>
        <v>00087480</v>
      </c>
      <c r="B1867" s="2" t="str">
        <f>"  "</f>
        <v xml:space="preserve">  </v>
      </c>
      <c r="C1867" s="1" t="s">
        <v>1547</v>
      </c>
      <c r="D1867" s="1" t="s">
        <v>0</v>
      </c>
      <c r="E1867" s="1" t="s">
        <v>12</v>
      </c>
      <c r="F1867" s="2" t="s">
        <v>0</v>
      </c>
      <c r="G1867" s="3">
        <v>20.05</v>
      </c>
    </row>
    <row r="1868" spans="1:7" ht="57.75" x14ac:dyDescent="0.25">
      <c r="A1868" s="2" t="str">
        <f>"00087481"</f>
        <v>00087481</v>
      </c>
      <c r="B1868" s="2" t="str">
        <f>"  "</f>
        <v xml:space="preserve">  </v>
      </c>
      <c r="C1868" s="1" t="s">
        <v>1548</v>
      </c>
      <c r="D1868" s="1" t="s">
        <v>0</v>
      </c>
      <c r="E1868" s="1" t="s">
        <v>12</v>
      </c>
      <c r="F1868" s="2" t="s">
        <v>0</v>
      </c>
      <c r="G1868" s="3">
        <v>35.090000000000003</v>
      </c>
    </row>
    <row r="1869" spans="1:7" ht="57.75" x14ac:dyDescent="0.25">
      <c r="A1869" s="2" t="str">
        <f>"00087482"</f>
        <v>00087482</v>
      </c>
      <c r="B1869" s="2" t="str">
        <f>"  "</f>
        <v xml:space="preserve">  </v>
      </c>
      <c r="C1869" s="1" t="s">
        <v>1549</v>
      </c>
      <c r="D1869" s="1" t="s">
        <v>0</v>
      </c>
      <c r="E1869" s="1" t="s">
        <v>12</v>
      </c>
      <c r="F1869" s="2" t="s">
        <v>0</v>
      </c>
      <c r="G1869" s="3">
        <v>55.74</v>
      </c>
    </row>
    <row r="1870" spans="1:7" ht="72" x14ac:dyDescent="0.25">
      <c r="A1870" s="2" t="str">
        <f>"00087483"</f>
        <v>00087483</v>
      </c>
      <c r="B1870" s="2" t="str">
        <f>"  "</f>
        <v xml:space="preserve">  </v>
      </c>
      <c r="C1870" s="1" t="s">
        <v>1550</v>
      </c>
      <c r="D1870" s="1" t="s">
        <v>0</v>
      </c>
      <c r="E1870" s="1" t="s">
        <v>14</v>
      </c>
      <c r="F1870" s="2" t="s">
        <v>0</v>
      </c>
      <c r="G1870" s="17" t="s">
        <v>1769</v>
      </c>
    </row>
    <row r="1871" spans="1:7" ht="72" x14ac:dyDescent="0.25">
      <c r="A1871" s="2" t="str">
        <f>"00087483"</f>
        <v>00087483</v>
      </c>
      <c r="B1871" s="2" t="str">
        <f>"90"</f>
        <v>90</v>
      </c>
      <c r="C1871" s="1" t="s">
        <v>1550</v>
      </c>
      <c r="D1871" s="1" t="s">
        <v>0</v>
      </c>
      <c r="E1871" s="1" t="s">
        <v>14</v>
      </c>
      <c r="F1871" s="2" t="s">
        <v>0</v>
      </c>
      <c r="G1871" s="17" t="s">
        <v>1769</v>
      </c>
    </row>
    <row r="1872" spans="1:7" ht="43.5" x14ac:dyDescent="0.25">
      <c r="A1872" s="2" t="str">
        <f>"00087484"</f>
        <v>00087484</v>
      </c>
      <c r="B1872" s="2" t="str">
        <f>"  "</f>
        <v xml:space="preserve">  </v>
      </c>
      <c r="C1872" s="1" t="s">
        <v>1551</v>
      </c>
      <c r="D1872" s="1" t="s">
        <v>0</v>
      </c>
      <c r="E1872" s="1" t="s">
        <v>12</v>
      </c>
      <c r="F1872" s="2" t="s">
        <v>0</v>
      </c>
      <c r="G1872" s="3">
        <v>35.090000000000003</v>
      </c>
    </row>
    <row r="1873" spans="1:7" ht="43.5" x14ac:dyDescent="0.25">
      <c r="A1873" s="2" t="str">
        <f>"00087484"</f>
        <v>00087484</v>
      </c>
      <c r="B1873" s="2" t="str">
        <f>"90"</f>
        <v>90</v>
      </c>
      <c r="C1873" s="1" t="s">
        <v>1551</v>
      </c>
      <c r="D1873" s="1" t="s">
        <v>0</v>
      </c>
      <c r="E1873" s="1" t="s">
        <v>14</v>
      </c>
      <c r="F1873" s="2" t="s">
        <v>0</v>
      </c>
      <c r="G1873" s="17" t="s">
        <v>1769</v>
      </c>
    </row>
    <row r="1874" spans="1:7" ht="72" x14ac:dyDescent="0.25">
      <c r="A1874" s="2" t="str">
        <f>"00087485"</f>
        <v>00087485</v>
      </c>
      <c r="B1874" s="2" t="str">
        <f t="shared" ref="B1874:B1887" si="69">"  "</f>
        <v xml:space="preserve">  </v>
      </c>
      <c r="C1874" s="1" t="s">
        <v>1552</v>
      </c>
      <c r="D1874" s="1" t="s">
        <v>0</v>
      </c>
      <c r="E1874" s="1" t="s">
        <v>12</v>
      </c>
      <c r="F1874" s="2" t="s">
        <v>0</v>
      </c>
      <c r="G1874" s="3">
        <v>20.05</v>
      </c>
    </row>
    <row r="1875" spans="1:7" ht="72" x14ac:dyDescent="0.25">
      <c r="A1875" s="2" t="str">
        <f>"00087486"</f>
        <v>00087486</v>
      </c>
      <c r="B1875" s="2" t="str">
        <f t="shared" si="69"/>
        <v xml:space="preserve">  </v>
      </c>
      <c r="C1875" s="1" t="s">
        <v>1553</v>
      </c>
      <c r="D1875" s="1" t="s">
        <v>0</v>
      </c>
      <c r="E1875" s="1" t="s">
        <v>12</v>
      </c>
      <c r="F1875" s="2" t="s">
        <v>0</v>
      </c>
      <c r="G1875" s="3">
        <v>35.090000000000003</v>
      </c>
    </row>
    <row r="1876" spans="1:7" ht="72" x14ac:dyDescent="0.25">
      <c r="A1876" s="2" t="str">
        <f>"00087487"</f>
        <v>00087487</v>
      </c>
      <c r="B1876" s="2" t="str">
        <f t="shared" si="69"/>
        <v xml:space="preserve">  </v>
      </c>
      <c r="C1876" s="1" t="s">
        <v>1554</v>
      </c>
      <c r="D1876" s="1" t="s">
        <v>0</v>
      </c>
      <c r="E1876" s="1" t="s">
        <v>12</v>
      </c>
      <c r="F1876" s="2" t="s">
        <v>0</v>
      </c>
      <c r="G1876" s="3">
        <v>42.84</v>
      </c>
    </row>
    <row r="1877" spans="1:7" ht="72" x14ac:dyDescent="0.25">
      <c r="A1877" s="2" t="str">
        <f>"00087490"</f>
        <v>00087490</v>
      </c>
      <c r="B1877" s="2" t="str">
        <f t="shared" si="69"/>
        <v xml:space="preserve">  </v>
      </c>
      <c r="C1877" s="1" t="s">
        <v>1555</v>
      </c>
      <c r="D1877" s="1" t="s">
        <v>0</v>
      </c>
      <c r="E1877" s="1" t="s">
        <v>12</v>
      </c>
      <c r="F1877" s="2" t="s">
        <v>0</v>
      </c>
      <c r="G1877" s="3">
        <v>22.75</v>
      </c>
    </row>
    <row r="1878" spans="1:7" ht="72" x14ac:dyDescent="0.25">
      <c r="A1878" s="2" t="str">
        <f>"00087491"</f>
        <v>00087491</v>
      </c>
      <c r="B1878" s="2" t="str">
        <f t="shared" si="69"/>
        <v xml:space="preserve">  </v>
      </c>
      <c r="C1878" s="1" t="s">
        <v>1556</v>
      </c>
      <c r="D1878" s="1" t="s">
        <v>0</v>
      </c>
      <c r="E1878" s="1" t="s">
        <v>12</v>
      </c>
      <c r="F1878" s="2" t="s">
        <v>0</v>
      </c>
      <c r="G1878" s="3">
        <v>35.090000000000003</v>
      </c>
    </row>
    <row r="1879" spans="1:7" ht="57.75" x14ac:dyDescent="0.25">
      <c r="A1879" s="2" t="str">
        <f>"00087492"</f>
        <v>00087492</v>
      </c>
      <c r="B1879" s="2" t="str">
        <f t="shared" si="69"/>
        <v xml:space="preserve">  </v>
      </c>
      <c r="C1879" s="1" t="s">
        <v>1557</v>
      </c>
      <c r="D1879" s="1" t="s">
        <v>0</v>
      </c>
      <c r="E1879" s="1" t="s">
        <v>12</v>
      </c>
      <c r="F1879" s="2" t="s">
        <v>0</v>
      </c>
      <c r="G1879" s="3">
        <v>53.47</v>
      </c>
    </row>
    <row r="1880" spans="1:7" ht="86.25" x14ac:dyDescent="0.25">
      <c r="A1880" s="2" t="str">
        <f>"00087493"</f>
        <v>00087493</v>
      </c>
      <c r="B1880" s="2" t="str">
        <f t="shared" si="69"/>
        <v xml:space="preserve">  </v>
      </c>
      <c r="C1880" s="1" t="s">
        <v>1558</v>
      </c>
      <c r="D1880" s="1" t="s">
        <v>0</v>
      </c>
      <c r="E1880" s="1" t="s">
        <v>12</v>
      </c>
      <c r="F1880" s="2" t="s">
        <v>0</v>
      </c>
      <c r="G1880" s="3">
        <v>37.270000000000003</v>
      </c>
    </row>
    <row r="1881" spans="1:7" ht="57.75" x14ac:dyDescent="0.25">
      <c r="A1881" s="2" t="str">
        <f>"00087495"</f>
        <v>00087495</v>
      </c>
      <c r="B1881" s="2" t="str">
        <f t="shared" si="69"/>
        <v xml:space="preserve">  </v>
      </c>
      <c r="C1881" s="1" t="s">
        <v>1559</v>
      </c>
      <c r="D1881" s="1" t="s">
        <v>0</v>
      </c>
      <c r="E1881" s="1" t="s">
        <v>12</v>
      </c>
      <c r="F1881" s="2" t="s">
        <v>0</v>
      </c>
      <c r="G1881" s="3">
        <v>30.03</v>
      </c>
    </row>
    <row r="1882" spans="1:7" ht="72" x14ac:dyDescent="0.25">
      <c r="A1882" s="2" t="str">
        <f>"00087496"</f>
        <v>00087496</v>
      </c>
      <c r="B1882" s="2" t="str">
        <f t="shared" si="69"/>
        <v xml:space="preserve">  </v>
      </c>
      <c r="C1882" s="1" t="s">
        <v>1560</v>
      </c>
      <c r="D1882" s="1" t="s">
        <v>0</v>
      </c>
      <c r="E1882" s="1" t="s">
        <v>12</v>
      </c>
      <c r="F1882" s="2" t="s">
        <v>0</v>
      </c>
      <c r="G1882" s="3">
        <v>35.090000000000003</v>
      </c>
    </row>
    <row r="1883" spans="1:7" ht="57.75" x14ac:dyDescent="0.25">
      <c r="A1883" s="2" t="str">
        <f>"00087497"</f>
        <v>00087497</v>
      </c>
      <c r="B1883" s="2" t="str">
        <f t="shared" si="69"/>
        <v xml:space="preserve">  </v>
      </c>
      <c r="C1883" s="1" t="s">
        <v>1561</v>
      </c>
      <c r="D1883" s="1" t="s">
        <v>0</v>
      </c>
      <c r="E1883" s="1" t="s">
        <v>12</v>
      </c>
      <c r="F1883" s="2" t="s">
        <v>0</v>
      </c>
      <c r="G1883" s="3">
        <v>42.84</v>
      </c>
    </row>
    <row r="1884" spans="1:7" ht="72" x14ac:dyDescent="0.25">
      <c r="A1884" s="2" t="str">
        <f>"00087498"</f>
        <v>00087498</v>
      </c>
      <c r="B1884" s="2" t="str">
        <f t="shared" si="69"/>
        <v xml:space="preserve">  </v>
      </c>
      <c r="C1884" s="1" t="s">
        <v>1562</v>
      </c>
      <c r="D1884" s="1" t="s">
        <v>0</v>
      </c>
      <c r="E1884" s="1" t="s">
        <v>12</v>
      </c>
      <c r="F1884" s="2" t="s">
        <v>0</v>
      </c>
      <c r="G1884" s="3">
        <v>35.090000000000003</v>
      </c>
    </row>
    <row r="1885" spans="1:7" ht="100.5" x14ac:dyDescent="0.25">
      <c r="A1885" s="2" t="str">
        <f>"00087500"</f>
        <v>00087500</v>
      </c>
      <c r="B1885" s="2" t="str">
        <f t="shared" si="69"/>
        <v xml:space="preserve">  </v>
      </c>
      <c r="C1885" s="1" t="s">
        <v>1563</v>
      </c>
      <c r="D1885" s="1" t="s">
        <v>0</v>
      </c>
      <c r="E1885" s="1" t="s">
        <v>12</v>
      </c>
      <c r="F1885" s="2" t="s">
        <v>0</v>
      </c>
      <c r="G1885" s="3">
        <v>35.090000000000003</v>
      </c>
    </row>
    <row r="1886" spans="1:7" ht="100.5" x14ac:dyDescent="0.25">
      <c r="A1886" s="2" t="str">
        <f>"00087501"</f>
        <v>00087501</v>
      </c>
      <c r="B1886" s="2" t="str">
        <f t="shared" si="69"/>
        <v xml:space="preserve">  </v>
      </c>
      <c r="C1886" s="1" t="s">
        <v>1564</v>
      </c>
      <c r="D1886" s="1" t="s">
        <v>0</v>
      </c>
      <c r="E1886" s="1" t="s">
        <v>12</v>
      </c>
      <c r="F1886" s="2" t="s">
        <v>0</v>
      </c>
      <c r="G1886" s="3">
        <v>51.31</v>
      </c>
    </row>
    <row r="1887" spans="1:7" ht="114.75" x14ac:dyDescent="0.25">
      <c r="A1887" s="2" t="str">
        <f>"00087502"</f>
        <v>00087502</v>
      </c>
      <c r="B1887" s="2" t="str">
        <f t="shared" si="69"/>
        <v xml:space="preserve">  </v>
      </c>
      <c r="C1887" s="1" t="s">
        <v>1565</v>
      </c>
      <c r="D1887" s="1" t="s">
        <v>0</v>
      </c>
      <c r="E1887" s="1" t="s">
        <v>12</v>
      </c>
      <c r="F1887" s="2" t="s">
        <v>0</v>
      </c>
      <c r="G1887" s="3">
        <v>95.8</v>
      </c>
    </row>
    <row r="1888" spans="1:7" ht="114.75" x14ac:dyDescent="0.25">
      <c r="A1888" s="2" t="str">
        <f>"00087502"</f>
        <v>00087502</v>
      </c>
      <c r="B1888" s="2" t="str">
        <f>"QW"</f>
        <v>QW</v>
      </c>
      <c r="C1888" s="1" t="s">
        <v>1566</v>
      </c>
      <c r="D1888" s="1" t="s">
        <v>0</v>
      </c>
      <c r="E1888" s="1" t="s">
        <v>12</v>
      </c>
      <c r="F1888" s="2" t="s">
        <v>0</v>
      </c>
      <c r="G1888" s="3">
        <v>95.8</v>
      </c>
    </row>
    <row r="1889" spans="1:7" ht="114.75" x14ac:dyDescent="0.25">
      <c r="A1889" s="2" t="str">
        <f>"00087503"</f>
        <v>00087503</v>
      </c>
      <c r="B1889" s="2" t="str">
        <f t="shared" ref="B1889:B1901" si="70">"  "</f>
        <v xml:space="preserve">  </v>
      </c>
      <c r="C1889" s="1" t="s">
        <v>1567</v>
      </c>
      <c r="D1889" s="1" t="s">
        <v>0</v>
      </c>
      <c r="E1889" s="1" t="s">
        <v>12</v>
      </c>
      <c r="F1889" s="2" t="s">
        <v>0</v>
      </c>
      <c r="G1889" s="3">
        <v>29.22</v>
      </c>
    </row>
    <row r="1890" spans="1:7" ht="43.5" x14ac:dyDescent="0.25">
      <c r="A1890" s="2" t="str">
        <f>"00087505"</f>
        <v>00087505</v>
      </c>
      <c r="B1890" s="2" t="str">
        <f t="shared" si="70"/>
        <v xml:space="preserve">  </v>
      </c>
      <c r="C1890" s="1" t="s">
        <v>1568</v>
      </c>
      <c r="D1890" s="1" t="s">
        <v>0</v>
      </c>
      <c r="E1890" s="1" t="s">
        <v>12</v>
      </c>
      <c r="F1890" s="2" t="s">
        <v>0</v>
      </c>
      <c r="G1890" s="3">
        <v>128.29</v>
      </c>
    </row>
    <row r="1891" spans="1:7" ht="43.5" x14ac:dyDescent="0.25">
      <c r="A1891" s="2" t="str">
        <f>"00087506"</f>
        <v>00087506</v>
      </c>
      <c r="B1891" s="2" t="str">
        <f t="shared" si="70"/>
        <v xml:space="preserve">  </v>
      </c>
      <c r="C1891" s="1" t="s">
        <v>1568</v>
      </c>
      <c r="D1891" s="1" t="s">
        <v>0</v>
      </c>
      <c r="E1891" s="1" t="s">
        <v>12</v>
      </c>
      <c r="F1891" s="2" t="s">
        <v>0</v>
      </c>
      <c r="G1891" s="3">
        <v>262.99</v>
      </c>
    </row>
    <row r="1892" spans="1:7" ht="43.5" x14ac:dyDescent="0.25">
      <c r="A1892" s="2" t="str">
        <f>"00087507"</f>
        <v>00087507</v>
      </c>
      <c r="B1892" s="2" t="str">
        <f t="shared" si="70"/>
        <v xml:space="preserve">  </v>
      </c>
      <c r="C1892" s="1" t="s">
        <v>1568</v>
      </c>
      <c r="D1892" s="1" t="s">
        <v>0</v>
      </c>
      <c r="E1892" s="1" t="s">
        <v>12</v>
      </c>
      <c r="F1892" s="2" t="s">
        <v>0</v>
      </c>
      <c r="G1892" s="3">
        <v>416.78</v>
      </c>
    </row>
    <row r="1893" spans="1:7" ht="72" x14ac:dyDescent="0.25">
      <c r="A1893" s="2" t="str">
        <f>"00087510"</f>
        <v>00087510</v>
      </c>
      <c r="B1893" s="2" t="str">
        <f t="shared" si="70"/>
        <v xml:space="preserve">  </v>
      </c>
      <c r="C1893" s="1" t="s">
        <v>1569</v>
      </c>
      <c r="D1893" s="1" t="s">
        <v>0</v>
      </c>
      <c r="E1893" s="1" t="s">
        <v>12</v>
      </c>
      <c r="F1893" s="2" t="s">
        <v>0</v>
      </c>
      <c r="G1893" s="3">
        <v>20.05</v>
      </c>
    </row>
    <row r="1894" spans="1:7" ht="72" x14ac:dyDescent="0.25">
      <c r="A1894" s="2" t="str">
        <f>"00087511"</f>
        <v>00087511</v>
      </c>
      <c r="B1894" s="2" t="str">
        <f t="shared" si="70"/>
        <v xml:space="preserve">  </v>
      </c>
      <c r="C1894" s="1" t="s">
        <v>1570</v>
      </c>
      <c r="D1894" s="1" t="s">
        <v>0</v>
      </c>
      <c r="E1894" s="1" t="s">
        <v>12</v>
      </c>
      <c r="F1894" s="2" t="s">
        <v>0</v>
      </c>
      <c r="G1894" s="3">
        <v>35.090000000000003</v>
      </c>
    </row>
    <row r="1895" spans="1:7" ht="57.75" x14ac:dyDescent="0.25">
      <c r="A1895" s="2" t="str">
        <f>"00087512"</f>
        <v>00087512</v>
      </c>
      <c r="B1895" s="2" t="str">
        <f t="shared" si="70"/>
        <v xml:space="preserve">  </v>
      </c>
      <c r="C1895" s="1" t="s">
        <v>1571</v>
      </c>
      <c r="D1895" s="1" t="s">
        <v>0</v>
      </c>
      <c r="E1895" s="1" t="s">
        <v>12</v>
      </c>
      <c r="F1895" s="2" t="s">
        <v>0</v>
      </c>
      <c r="G1895" s="3">
        <v>41.76</v>
      </c>
    </row>
    <row r="1896" spans="1:7" ht="57.75" x14ac:dyDescent="0.25">
      <c r="A1896" s="2" t="str">
        <f>"00087516"</f>
        <v>00087516</v>
      </c>
      <c r="B1896" s="2" t="str">
        <f t="shared" si="70"/>
        <v xml:space="preserve">  </v>
      </c>
      <c r="C1896" s="1" t="s">
        <v>1572</v>
      </c>
      <c r="D1896" s="1" t="s">
        <v>0</v>
      </c>
      <c r="E1896" s="1" t="s">
        <v>12</v>
      </c>
      <c r="F1896" s="2" t="s">
        <v>0</v>
      </c>
      <c r="G1896" s="3">
        <v>35.090000000000003</v>
      </c>
    </row>
    <row r="1897" spans="1:7" ht="57.75" x14ac:dyDescent="0.25">
      <c r="A1897" s="2" t="str">
        <f>"00087517"</f>
        <v>00087517</v>
      </c>
      <c r="B1897" s="2" t="str">
        <f t="shared" si="70"/>
        <v xml:space="preserve">  </v>
      </c>
      <c r="C1897" s="1" t="s">
        <v>1573</v>
      </c>
      <c r="D1897" s="1" t="s">
        <v>0</v>
      </c>
      <c r="E1897" s="1" t="s">
        <v>12</v>
      </c>
      <c r="F1897" s="2" t="s">
        <v>0</v>
      </c>
      <c r="G1897" s="3">
        <v>42.84</v>
      </c>
    </row>
    <row r="1898" spans="1:7" ht="57.75" x14ac:dyDescent="0.25">
      <c r="A1898" s="2" t="str">
        <f>"00087520"</f>
        <v>00087520</v>
      </c>
      <c r="B1898" s="2" t="str">
        <f t="shared" si="70"/>
        <v xml:space="preserve">  </v>
      </c>
      <c r="C1898" s="1" t="s">
        <v>1574</v>
      </c>
      <c r="D1898" s="1" t="s">
        <v>0</v>
      </c>
      <c r="E1898" s="1" t="s">
        <v>12</v>
      </c>
      <c r="F1898" s="2" t="s">
        <v>0</v>
      </c>
      <c r="G1898" s="3">
        <v>31.22</v>
      </c>
    </row>
    <row r="1899" spans="1:7" ht="57.75" x14ac:dyDescent="0.25">
      <c r="A1899" s="2" t="str">
        <f>"00087521"</f>
        <v>00087521</v>
      </c>
      <c r="B1899" s="2" t="str">
        <f t="shared" si="70"/>
        <v xml:space="preserve">  </v>
      </c>
      <c r="C1899" s="1" t="s">
        <v>1575</v>
      </c>
      <c r="D1899" s="1" t="s">
        <v>0</v>
      </c>
      <c r="E1899" s="1" t="s">
        <v>12</v>
      </c>
      <c r="F1899" s="2" t="s">
        <v>0</v>
      </c>
      <c r="G1899" s="3">
        <v>35.090000000000003</v>
      </c>
    </row>
    <row r="1900" spans="1:7" ht="57.75" x14ac:dyDescent="0.25">
      <c r="A1900" s="2" t="str">
        <f>"00087522"</f>
        <v>00087522</v>
      </c>
      <c r="B1900" s="2" t="str">
        <f t="shared" si="70"/>
        <v xml:space="preserve">  </v>
      </c>
      <c r="C1900" s="1" t="s">
        <v>1576</v>
      </c>
      <c r="D1900" s="1" t="s">
        <v>0</v>
      </c>
      <c r="E1900" s="1" t="s">
        <v>12</v>
      </c>
      <c r="F1900" s="2" t="s">
        <v>0</v>
      </c>
      <c r="G1900" s="3">
        <v>42.84</v>
      </c>
    </row>
    <row r="1901" spans="1:7" x14ac:dyDescent="0.25">
      <c r="A1901" s="2" t="str">
        <f>"00087523"</f>
        <v>00087523</v>
      </c>
      <c r="B1901" s="2" t="str">
        <f t="shared" si="70"/>
        <v xml:space="preserve">  </v>
      </c>
      <c r="C1901" s="1" t="s">
        <v>1577</v>
      </c>
      <c r="D1901" s="1" t="s">
        <v>0</v>
      </c>
      <c r="E1901" s="1" t="s">
        <v>14</v>
      </c>
      <c r="F1901" s="2" t="s">
        <v>0</v>
      </c>
      <c r="G1901" s="17" t="s">
        <v>1769</v>
      </c>
    </row>
    <row r="1902" spans="1:7" x14ac:dyDescent="0.25">
      <c r="A1902" s="2" t="str">
        <f>"00087523"</f>
        <v>00087523</v>
      </c>
      <c r="B1902" s="2" t="str">
        <f>"90"</f>
        <v>90</v>
      </c>
      <c r="C1902" s="1" t="s">
        <v>1577</v>
      </c>
      <c r="D1902" s="1" t="s">
        <v>0</v>
      </c>
      <c r="E1902" s="1" t="s">
        <v>14</v>
      </c>
      <c r="F1902" s="2" t="s">
        <v>0</v>
      </c>
      <c r="G1902" s="17" t="s">
        <v>1769</v>
      </c>
    </row>
    <row r="1903" spans="1:7" ht="43.5" x14ac:dyDescent="0.25">
      <c r="A1903" s="2" t="str">
        <f>"00087525"</f>
        <v>00087525</v>
      </c>
      <c r="B1903" s="2" t="str">
        <f t="shared" ref="B1903:B1937" si="71">"  "</f>
        <v xml:space="preserve">  </v>
      </c>
      <c r="C1903" s="1" t="s">
        <v>1578</v>
      </c>
      <c r="D1903" s="1" t="s">
        <v>0</v>
      </c>
      <c r="E1903" s="1" t="s">
        <v>12</v>
      </c>
      <c r="F1903" s="2" t="s">
        <v>0</v>
      </c>
      <c r="G1903" s="3">
        <v>29.8</v>
      </c>
    </row>
    <row r="1904" spans="1:7" ht="57.75" x14ac:dyDescent="0.25">
      <c r="A1904" s="2" t="str">
        <f>"00087526"</f>
        <v>00087526</v>
      </c>
      <c r="B1904" s="2" t="str">
        <f t="shared" si="71"/>
        <v xml:space="preserve">  </v>
      </c>
      <c r="C1904" s="1" t="s">
        <v>1579</v>
      </c>
      <c r="D1904" s="1" t="s">
        <v>0</v>
      </c>
      <c r="E1904" s="1" t="s">
        <v>12</v>
      </c>
      <c r="F1904" s="2" t="s">
        <v>0</v>
      </c>
      <c r="G1904" s="3">
        <v>39.26</v>
      </c>
    </row>
    <row r="1905" spans="1:7" ht="57.75" x14ac:dyDescent="0.25">
      <c r="A1905" s="2" t="str">
        <f>"00087527"</f>
        <v>00087527</v>
      </c>
      <c r="B1905" s="2" t="str">
        <f t="shared" si="71"/>
        <v xml:space="preserve">  </v>
      </c>
      <c r="C1905" s="1" t="s">
        <v>1580</v>
      </c>
      <c r="D1905" s="1" t="s">
        <v>0</v>
      </c>
      <c r="E1905" s="1" t="s">
        <v>12</v>
      </c>
      <c r="F1905" s="2" t="s">
        <v>0</v>
      </c>
      <c r="G1905" s="3">
        <v>41.76</v>
      </c>
    </row>
    <row r="1906" spans="1:7" ht="57.75" x14ac:dyDescent="0.25">
      <c r="A1906" s="2" t="str">
        <f>"00087528"</f>
        <v>00087528</v>
      </c>
      <c r="B1906" s="2" t="str">
        <f t="shared" si="71"/>
        <v xml:space="preserve">  </v>
      </c>
      <c r="C1906" s="1" t="s">
        <v>1581</v>
      </c>
      <c r="D1906" s="1" t="s">
        <v>0</v>
      </c>
      <c r="E1906" s="1" t="s">
        <v>12</v>
      </c>
      <c r="F1906" s="2" t="s">
        <v>0</v>
      </c>
      <c r="G1906" s="3">
        <v>20.05</v>
      </c>
    </row>
    <row r="1907" spans="1:7" ht="57.75" x14ac:dyDescent="0.25">
      <c r="A1907" s="2" t="str">
        <f>"00087529"</f>
        <v>00087529</v>
      </c>
      <c r="B1907" s="2" t="str">
        <f t="shared" si="71"/>
        <v xml:space="preserve">  </v>
      </c>
      <c r="C1907" s="1" t="s">
        <v>1582</v>
      </c>
      <c r="D1907" s="1" t="s">
        <v>0</v>
      </c>
      <c r="E1907" s="1" t="s">
        <v>12</v>
      </c>
      <c r="F1907" s="2" t="s">
        <v>0</v>
      </c>
      <c r="G1907" s="3">
        <v>35.090000000000003</v>
      </c>
    </row>
    <row r="1908" spans="1:7" ht="57.75" x14ac:dyDescent="0.25">
      <c r="A1908" s="2" t="str">
        <f>"00087530"</f>
        <v>00087530</v>
      </c>
      <c r="B1908" s="2" t="str">
        <f t="shared" si="71"/>
        <v xml:space="preserve">  </v>
      </c>
      <c r="C1908" s="1" t="s">
        <v>1583</v>
      </c>
      <c r="D1908" s="1" t="s">
        <v>0</v>
      </c>
      <c r="E1908" s="1" t="s">
        <v>12</v>
      </c>
      <c r="F1908" s="2" t="s">
        <v>0</v>
      </c>
      <c r="G1908" s="3">
        <v>42.84</v>
      </c>
    </row>
    <row r="1909" spans="1:7" ht="57.75" x14ac:dyDescent="0.25">
      <c r="A1909" s="2" t="str">
        <f>"00087531"</f>
        <v>00087531</v>
      </c>
      <c r="B1909" s="2" t="str">
        <f t="shared" si="71"/>
        <v xml:space="preserve">  </v>
      </c>
      <c r="C1909" s="1" t="s">
        <v>1584</v>
      </c>
      <c r="D1909" s="1" t="s">
        <v>0</v>
      </c>
      <c r="E1909" s="1" t="s">
        <v>12</v>
      </c>
      <c r="F1909" s="2" t="s">
        <v>0</v>
      </c>
      <c r="G1909" s="3">
        <v>58</v>
      </c>
    </row>
    <row r="1910" spans="1:7" ht="57.75" x14ac:dyDescent="0.25">
      <c r="A1910" s="2" t="str">
        <f>"00087532"</f>
        <v>00087532</v>
      </c>
      <c r="B1910" s="2" t="str">
        <f t="shared" si="71"/>
        <v xml:space="preserve">  </v>
      </c>
      <c r="C1910" s="1" t="s">
        <v>1585</v>
      </c>
      <c r="D1910" s="1" t="s">
        <v>0</v>
      </c>
      <c r="E1910" s="1" t="s">
        <v>12</v>
      </c>
      <c r="F1910" s="2" t="s">
        <v>0</v>
      </c>
      <c r="G1910" s="3">
        <v>35.090000000000003</v>
      </c>
    </row>
    <row r="1911" spans="1:7" ht="57.75" x14ac:dyDescent="0.25">
      <c r="A1911" s="2" t="str">
        <f>"00087533"</f>
        <v>00087533</v>
      </c>
      <c r="B1911" s="2" t="str">
        <f t="shared" si="71"/>
        <v xml:space="preserve">  </v>
      </c>
      <c r="C1911" s="1" t="s">
        <v>1586</v>
      </c>
      <c r="D1911" s="1" t="s">
        <v>0</v>
      </c>
      <c r="E1911" s="1" t="s">
        <v>12</v>
      </c>
      <c r="F1911" s="2" t="s">
        <v>0</v>
      </c>
      <c r="G1911" s="3">
        <v>41.76</v>
      </c>
    </row>
    <row r="1912" spans="1:7" ht="43.5" x14ac:dyDescent="0.25">
      <c r="A1912" s="2" t="str">
        <f>"00087534"</f>
        <v>00087534</v>
      </c>
      <c r="B1912" s="2" t="str">
        <f t="shared" si="71"/>
        <v xml:space="preserve">  </v>
      </c>
      <c r="C1912" s="1" t="s">
        <v>1587</v>
      </c>
      <c r="D1912" s="1" t="s">
        <v>0</v>
      </c>
      <c r="E1912" s="1" t="s">
        <v>12</v>
      </c>
      <c r="F1912" s="2" t="s">
        <v>0</v>
      </c>
      <c r="G1912" s="3">
        <v>21.92</v>
      </c>
    </row>
    <row r="1913" spans="1:7" ht="72" x14ac:dyDescent="0.25">
      <c r="A1913" s="2" t="str">
        <f>"00087535"</f>
        <v>00087535</v>
      </c>
      <c r="B1913" s="2" t="str">
        <f t="shared" si="71"/>
        <v xml:space="preserve">  </v>
      </c>
      <c r="C1913" s="1" t="s">
        <v>1588</v>
      </c>
      <c r="D1913" s="1" t="s">
        <v>0</v>
      </c>
      <c r="E1913" s="1" t="s">
        <v>12</v>
      </c>
      <c r="F1913" s="2" t="s">
        <v>0</v>
      </c>
      <c r="G1913" s="3">
        <v>35.090000000000003</v>
      </c>
    </row>
    <row r="1914" spans="1:7" ht="57.75" x14ac:dyDescent="0.25">
      <c r="A1914" s="2" t="str">
        <f>"00087536"</f>
        <v>00087536</v>
      </c>
      <c r="B1914" s="2" t="str">
        <f t="shared" si="71"/>
        <v xml:space="preserve">  </v>
      </c>
      <c r="C1914" s="1" t="s">
        <v>1589</v>
      </c>
      <c r="D1914" s="1" t="s">
        <v>0</v>
      </c>
      <c r="E1914" s="1" t="s">
        <v>12</v>
      </c>
      <c r="F1914" s="2" t="s">
        <v>0</v>
      </c>
      <c r="G1914" s="3">
        <v>85.1</v>
      </c>
    </row>
    <row r="1915" spans="1:7" ht="43.5" x14ac:dyDescent="0.25">
      <c r="A1915" s="2" t="str">
        <f>"00087537"</f>
        <v>00087537</v>
      </c>
      <c r="B1915" s="2" t="str">
        <f t="shared" si="71"/>
        <v xml:space="preserve">  </v>
      </c>
      <c r="C1915" s="1" t="s">
        <v>1590</v>
      </c>
      <c r="D1915" s="1" t="s">
        <v>0</v>
      </c>
      <c r="E1915" s="1" t="s">
        <v>12</v>
      </c>
      <c r="F1915" s="2" t="s">
        <v>0</v>
      </c>
      <c r="G1915" s="3">
        <v>21.92</v>
      </c>
    </row>
    <row r="1916" spans="1:7" ht="43.5" x14ac:dyDescent="0.25">
      <c r="A1916" s="2" t="str">
        <f>"00087538"</f>
        <v>00087538</v>
      </c>
      <c r="B1916" s="2" t="str">
        <f t="shared" si="71"/>
        <v xml:space="preserve">  </v>
      </c>
      <c r="C1916" s="1" t="s">
        <v>1591</v>
      </c>
      <c r="D1916" s="1" t="s">
        <v>0</v>
      </c>
      <c r="E1916" s="1" t="s">
        <v>12</v>
      </c>
      <c r="F1916" s="2" t="s">
        <v>0</v>
      </c>
      <c r="G1916" s="3">
        <v>35.090000000000003</v>
      </c>
    </row>
    <row r="1917" spans="1:7" ht="43.5" x14ac:dyDescent="0.25">
      <c r="A1917" s="2" t="str">
        <f>"00087539"</f>
        <v>00087539</v>
      </c>
      <c r="B1917" s="2" t="str">
        <f t="shared" si="71"/>
        <v xml:space="preserve">  </v>
      </c>
      <c r="C1917" s="1" t="s">
        <v>1592</v>
      </c>
      <c r="D1917" s="1" t="s">
        <v>0</v>
      </c>
      <c r="E1917" s="1" t="s">
        <v>12</v>
      </c>
      <c r="F1917" s="2" t="s">
        <v>0</v>
      </c>
      <c r="G1917" s="3">
        <v>58.62</v>
      </c>
    </row>
    <row r="1918" spans="1:7" ht="43.5" x14ac:dyDescent="0.25">
      <c r="A1918" s="2" t="str">
        <f>"00087540"</f>
        <v>00087540</v>
      </c>
      <c r="B1918" s="2" t="str">
        <f t="shared" si="71"/>
        <v xml:space="preserve">  </v>
      </c>
      <c r="C1918" s="1" t="s">
        <v>1593</v>
      </c>
      <c r="D1918" s="1" t="s">
        <v>0</v>
      </c>
      <c r="E1918" s="1" t="s">
        <v>12</v>
      </c>
      <c r="F1918" s="2" t="s">
        <v>0</v>
      </c>
      <c r="G1918" s="3">
        <v>20.05</v>
      </c>
    </row>
    <row r="1919" spans="1:7" ht="43.5" x14ac:dyDescent="0.25">
      <c r="A1919" s="2" t="str">
        <f>"00087541"</f>
        <v>00087541</v>
      </c>
      <c r="B1919" s="2" t="str">
        <f t="shared" si="71"/>
        <v xml:space="preserve">  </v>
      </c>
      <c r="C1919" s="1" t="s">
        <v>1594</v>
      </c>
      <c r="D1919" s="1" t="s">
        <v>0</v>
      </c>
      <c r="E1919" s="1" t="s">
        <v>12</v>
      </c>
      <c r="F1919" s="2" t="s">
        <v>0</v>
      </c>
      <c r="G1919" s="3">
        <v>35.090000000000003</v>
      </c>
    </row>
    <row r="1920" spans="1:7" ht="57.75" x14ac:dyDescent="0.25">
      <c r="A1920" s="2" t="str">
        <f>"00087542"</f>
        <v>00087542</v>
      </c>
      <c r="B1920" s="2" t="str">
        <f t="shared" si="71"/>
        <v xml:space="preserve">  </v>
      </c>
      <c r="C1920" s="1" t="s">
        <v>1595</v>
      </c>
      <c r="D1920" s="1" t="s">
        <v>0</v>
      </c>
      <c r="E1920" s="1" t="s">
        <v>12</v>
      </c>
      <c r="F1920" s="2" t="s">
        <v>0</v>
      </c>
      <c r="G1920" s="3">
        <v>41.76</v>
      </c>
    </row>
    <row r="1921" spans="1:7" ht="57.75" x14ac:dyDescent="0.25">
      <c r="A1921" s="2" t="str">
        <f>"00087550"</f>
        <v>00087550</v>
      </c>
      <c r="B1921" s="2" t="str">
        <f t="shared" si="71"/>
        <v xml:space="preserve">  </v>
      </c>
      <c r="C1921" s="1" t="s">
        <v>1596</v>
      </c>
      <c r="D1921" s="1" t="s">
        <v>0</v>
      </c>
      <c r="E1921" s="1" t="s">
        <v>12</v>
      </c>
      <c r="F1921" s="2" t="s">
        <v>0</v>
      </c>
      <c r="G1921" s="3">
        <v>20.05</v>
      </c>
    </row>
    <row r="1922" spans="1:7" ht="57.75" x14ac:dyDescent="0.25">
      <c r="A1922" s="2" t="str">
        <f>"00087551"</f>
        <v>00087551</v>
      </c>
      <c r="B1922" s="2" t="str">
        <f t="shared" si="71"/>
        <v xml:space="preserve">  </v>
      </c>
      <c r="C1922" s="1" t="s">
        <v>1597</v>
      </c>
      <c r="D1922" s="1" t="s">
        <v>0</v>
      </c>
      <c r="E1922" s="1" t="s">
        <v>12</v>
      </c>
      <c r="F1922" s="2" t="s">
        <v>0</v>
      </c>
      <c r="G1922" s="3">
        <v>48.24</v>
      </c>
    </row>
    <row r="1923" spans="1:7" ht="57.75" x14ac:dyDescent="0.25">
      <c r="A1923" s="2" t="str">
        <f>"00087552"</f>
        <v>00087552</v>
      </c>
      <c r="B1923" s="2" t="str">
        <f t="shared" si="71"/>
        <v xml:space="preserve">  </v>
      </c>
      <c r="C1923" s="1" t="s">
        <v>1598</v>
      </c>
      <c r="D1923" s="1" t="s">
        <v>0</v>
      </c>
      <c r="E1923" s="1" t="s">
        <v>12</v>
      </c>
      <c r="F1923" s="2" t="s">
        <v>0</v>
      </c>
      <c r="G1923" s="3">
        <v>42.84</v>
      </c>
    </row>
    <row r="1924" spans="1:7" ht="57.75" x14ac:dyDescent="0.25">
      <c r="A1924" s="2" t="str">
        <f>"00087555"</f>
        <v>00087555</v>
      </c>
      <c r="B1924" s="2" t="str">
        <f t="shared" si="71"/>
        <v xml:space="preserve">  </v>
      </c>
      <c r="C1924" s="1" t="s">
        <v>1599</v>
      </c>
      <c r="D1924" s="1" t="s">
        <v>0</v>
      </c>
      <c r="E1924" s="1" t="s">
        <v>12</v>
      </c>
      <c r="F1924" s="2" t="s">
        <v>0</v>
      </c>
      <c r="G1924" s="3">
        <v>26.88</v>
      </c>
    </row>
    <row r="1925" spans="1:7" ht="57.75" x14ac:dyDescent="0.25">
      <c r="A1925" s="2" t="str">
        <f>"00087556"</f>
        <v>00087556</v>
      </c>
      <c r="B1925" s="2" t="str">
        <f t="shared" si="71"/>
        <v xml:space="preserve">  </v>
      </c>
      <c r="C1925" s="1" t="s">
        <v>1600</v>
      </c>
      <c r="D1925" s="1" t="s">
        <v>0</v>
      </c>
      <c r="E1925" s="1" t="s">
        <v>12</v>
      </c>
      <c r="F1925" s="2" t="s">
        <v>0</v>
      </c>
      <c r="G1925" s="3">
        <v>41.68</v>
      </c>
    </row>
    <row r="1926" spans="1:7" ht="72" x14ac:dyDescent="0.25">
      <c r="A1926" s="2" t="str">
        <f>"00087557"</f>
        <v>00087557</v>
      </c>
      <c r="B1926" s="2" t="str">
        <f t="shared" si="71"/>
        <v xml:space="preserve">  </v>
      </c>
      <c r="C1926" s="1" t="s">
        <v>1601</v>
      </c>
      <c r="D1926" s="1" t="s">
        <v>0</v>
      </c>
      <c r="E1926" s="1" t="s">
        <v>12</v>
      </c>
      <c r="F1926" s="2" t="s">
        <v>0</v>
      </c>
      <c r="G1926" s="3">
        <v>42.84</v>
      </c>
    </row>
    <row r="1927" spans="1:7" ht="57.75" x14ac:dyDescent="0.25">
      <c r="A1927" s="2" t="str">
        <f>"00087560"</f>
        <v>00087560</v>
      </c>
      <c r="B1927" s="2" t="str">
        <f t="shared" si="71"/>
        <v xml:space="preserve">  </v>
      </c>
      <c r="C1927" s="1" t="s">
        <v>1602</v>
      </c>
      <c r="D1927" s="1" t="s">
        <v>0</v>
      </c>
      <c r="E1927" s="1" t="s">
        <v>12</v>
      </c>
      <c r="F1927" s="2" t="s">
        <v>0</v>
      </c>
      <c r="G1927" s="3">
        <v>27.29</v>
      </c>
    </row>
    <row r="1928" spans="1:7" ht="57.75" x14ac:dyDescent="0.25">
      <c r="A1928" s="2" t="str">
        <f>"00087561"</f>
        <v>00087561</v>
      </c>
      <c r="B1928" s="2" t="str">
        <f t="shared" si="71"/>
        <v xml:space="preserve">  </v>
      </c>
      <c r="C1928" s="1" t="s">
        <v>1603</v>
      </c>
      <c r="D1928" s="1" t="s">
        <v>0</v>
      </c>
      <c r="E1928" s="1" t="s">
        <v>12</v>
      </c>
      <c r="F1928" s="2" t="s">
        <v>0</v>
      </c>
      <c r="G1928" s="3">
        <v>35.090000000000003</v>
      </c>
    </row>
    <row r="1929" spans="1:7" ht="72" x14ac:dyDescent="0.25">
      <c r="A1929" s="2" t="str">
        <f>"00087562"</f>
        <v>00087562</v>
      </c>
      <c r="B1929" s="2" t="str">
        <f t="shared" si="71"/>
        <v xml:space="preserve">  </v>
      </c>
      <c r="C1929" s="1" t="s">
        <v>1604</v>
      </c>
      <c r="D1929" s="1" t="s">
        <v>0</v>
      </c>
      <c r="E1929" s="1" t="s">
        <v>12</v>
      </c>
      <c r="F1929" s="2" t="s">
        <v>0</v>
      </c>
      <c r="G1929" s="3">
        <v>42.84</v>
      </c>
    </row>
    <row r="1930" spans="1:7" ht="43.5" x14ac:dyDescent="0.25">
      <c r="A1930" s="2" t="str">
        <f>"00087563"</f>
        <v>00087563</v>
      </c>
      <c r="B1930" s="2" t="str">
        <f t="shared" si="71"/>
        <v xml:space="preserve">  </v>
      </c>
      <c r="C1930" s="1" t="s">
        <v>1605</v>
      </c>
      <c r="D1930" s="1" t="s">
        <v>0</v>
      </c>
      <c r="E1930" s="1" t="s">
        <v>14</v>
      </c>
      <c r="F1930" s="2" t="s">
        <v>0</v>
      </c>
      <c r="G1930" s="17" t="s">
        <v>1769</v>
      </c>
    </row>
    <row r="1931" spans="1:7" ht="43.5" x14ac:dyDescent="0.25">
      <c r="A1931" s="2" t="str">
        <f>"00087580"</f>
        <v>00087580</v>
      </c>
      <c r="B1931" s="2" t="str">
        <f t="shared" si="71"/>
        <v xml:space="preserve">  </v>
      </c>
      <c r="C1931" s="1" t="s">
        <v>1606</v>
      </c>
      <c r="D1931" s="1" t="s">
        <v>0</v>
      </c>
      <c r="E1931" s="1" t="s">
        <v>12</v>
      </c>
      <c r="F1931" s="2" t="s">
        <v>0</v>
      </c>
      <c r="G1931" s="3">
        <v>20.05</v>
      </c>
    </row>
    <row r="1932" spans="1:7" ht="43.5" x14ac:dyDescent="0.25">
      <c r="A1932" s="2" t="str">
        <f>"00087581"</f>
        <v>00087581</v>
      </c>
      <c r="B1932" s="2" t="str">
        <f t="shared" si="71"/>
        <v xml:space="preserve">  </v>
      </c>
      <c r="C1932" s="1" t="s">
        <v>1607</v>
      </c>
      <c r="D1932" s="1" t="s">
        <v>0</v>
      </c>
      <c r="E1932" s="1" t="s">
        <v>12</v>
      </c>
      <c r="F1932" s="2" t="s">
        <v>0</v>
      </c>
      <c r="G1932" s="3">
        <v>35.090000000000003</v>
      </c>
    </row>
    <row r="1933" spans="1:7" ht="57.75" x14ac:dyDescent="0.25">
      <c r="A1933" s="2" t="str">
        <f>"00087582"</f>
        <v>00087582</v>
      </c>
      <c r="B1933" s="2" t="str">
        <f t="shared" si="71"/>
        <v xml:space="preserve">  </v>
      </c>
      <c r="C1933" s="1" t="s">
        <v>1608</v>
      </c>
      <c r="D1933" s="1" t="s">
        <v>0</v>
      </c>
      <c r="E1933" s="1" t="s">
        <v>12</v>
      </c>
      <c r="F1933" s="2" t="s">
        <v>0</v>
      </c>
      <c r="G1933" s="3">
        <v>302.62</v>
      </c>
    </row>
    <row r="1934" spans="1:7" ht="43.5" x14ac:dyDescent="0.25">
      <c r="A1934" s="2" t="str">
        <f>"00087590"</f>
        <v>00087590</v>
      </c>
      <c r="B1934" s="2" t="str">
        <f t="shared" si="71"/>
        <v xml:space="preserve">  </v>
      </c>
      <c r="C1934" s="1" t="s">
        <v>1609</v>
      </c>
      <c r="D1934" s="1" t="s">
        <v>0</v>
      </c>
      <c r="E1934" s="1" t="s">
        <v>12</v>
      </c>
      <c r="F1934" s="2" t="s">
        <v>0</v>
      </c>
      <c r="G1934" s="3">
        <v>26.88</v>
      </c>
    </row>
    <row r="1935" spans="1:7" ht="43.5" x14ac:dyDescent="0.25">
      <c r="A1935" s="2" t="str">
        <f>"00087591"</f>
        <v>00087591</v>
      </c>
      <c r="B1935" s="2" t="str">
        <f t="shared" si="71"/>
        <v xml:space="preserve">  </v>
      </c>
      <c r="C1935" s="1" t="s">
        <v>1610</v>
      </c>
      <c r="D1935" s="1" t="s">
        <v>0</v>
      </c>
      <c r="E1935" s="1" t="s">
        <v>12</v>
      </c>
      <c r="F1935" s="2" t="s">
        <v>0</v>
      </c>
      <c r="G1935" s="3">
        <v>35.090000000000003</v>
      </c>
    </row>
    <row r="1936" spans="1:7" ht="57.75" x14ac:dyDescent="0.25">
      <c r="A1936" s="2" t="str">
        <f>"00087592"</f>
        <v>00087592</v>
      </c>
      <c r="B1936" s="2" t="str">
        <f t="shared" si="71"/>
        <v xml:space="preserve">  </v>
      </c>
      <c r="C1936" s="1" t="s">
        <v>1611</v>
      </c>
      <c r="D1936" s="1" t="s">
        <v>0</v>
      </c>
      <c r="E1936" s="1" t="s">
        <v>12</v>
      </c>
      <c r="F1936" s="2" t="s">
        <v>0</v>
      </c>
      <c r="G1936" s="3">
        <v>42.84</v>
      </c>
    </row>
    <row r="1937" spans="1:7" ht="43.5" x14ac:dyDescent="0.25">
      <c r="A1937" s="2" t="str">
        <f>"00087593"</f>
        <v>00087593</v>
      </c>
      <c r="B1937" s="2" t="str">
        <f t="shared" si="71"/>
        <v xml:space="preserve">  </v>
      </c>
      <c r="C1937" s="1" t="s">
        <v>1612</v>
      </c>
      <c r="D1937" s="1" t="s">
        <v>0</v>
      </c>
      <c r="E1937" s="1" t="s">
        <v>12</v>
      </c>
      <c r="F1937" s="2" t="s">
        <v>0</v>
      </c>
      <c r="G1937" s="3">
        <v>35.090000000000003</v>
      </c>
    </row>
    <row r="1938" spans="1:7" ht="43.5" x14ac:dyDescent="0.25">
      <c r="A1938" s="2" t="str">
        <f>"00087593"</f>
        <v>00087593</v>
      </c>
      <c r="B1938" s="2" t="str">
        <f>"90"</f>
        <v>90</v>
      </c>
      <c r="C1938" s="1" t="s">
        <v>1612</v>
      </c>
      <c r="D1938" s="1" t="s">
        <v>0</v>
      </c>
      <c r="E1938" s="1" t="s">
        <v>14</v>
      </c>
      <c r="F1938" s="2" t="s">
        <v>0</v>
      </c>
      <c r="G1938" s="17" t="s">
        <v>1769</v>
      </c>
    </row>
    <row r="1939" spans="1:7" ht="29.25" x14ac:dyDescent="0.25">
      <c r="A1939" s="2" t="str">
        <f>"00087623"</f>
        <v>00087623</v>
      </c>
      <c r="B1939" s="2" t="str">
        <f>"  "</f>
        <v xml:space="preserve">  </v>
      </c>
      <c r="C1939" s="1" t="s">
        <v>1613</v>
      </c>
      <c r="D1939" s="1" t="s">
        <v>0</v>
      </c>
      <c r="E1939" s="1" t="s">
        <v>12</v>
      </c>
      <c r="F1939" s="2" t="s">
        <v>0</v>
      </c>
      <c r="G1939" s="3">
        <v>35.090000000000003</v>
      </c>
    </row>
    <row r="1940" spans="1:7" ht="43.5" x14ac:dyDescent="0.25">
      <c r="A1940" s="2" t="str">
        <f>"00087624"</f>
        <v>00087624</v>
      </c>
      <c r="B1940" s="2" t="str">
        <f>"  "</f>
        <v xml:space="preserve">  </v>
      </c>
      <c r="C1940" s="1" t="s">
        <v>1614</v>
      </c>
      <c r="D1940" s="1" t="s">
        <v>0</v>
      </c>
      <c r="E1940" s="1" t="s">
        <v>12</v>
      </c>
      <c r="F1940" s="2" t="s">
        <v>0</v>
      </c>
      <c r="G1940" s="3">
        <v>35.090000000000003</v>
      </c>
    </row>
    <row r="1941" spans="1:7" ht="43.5" x14ac:dyDescent="0.25">
      <c r="A1941" s="2" t="str">
        <f>"00087625"</f>
        <v>00087625</v>
      </c>
      <c r="B1941" s="2" t="str">
        <f>"  "</f>
        <v xml:space="preserve">  </v>
      </c>
      <c r="C1941" s="1" t="s">
        <v>1615</v>
      </c>
      <c r="D1941" s="1" t="s">
        <v>0</v>
      </c>
      <c r="E1941" s="1" t="s">
        <v>12</v>
      </c>
      <c r="F1941" s="2" t="s">
        <v>0</v>
      </c>
      <c r="G1941" s="3">
        <v>40.549999999999997</v>
      </c>
    </row>
    <row r="1942" spans="1:7" ht="114.75" x14ac:dyDescent="0.25">
      <c r="A1942" s="2" t="str">
        <f>"00087631"</f>
        <v>00087631</v>
      </c>
      <c r="B1942" s="2" t="str">
        <f>"  "</f>
        <v xml:space="preserve">  </v>
      </c>
      <c r="C1942" s="1" t="s">
        <v>1616</v>
      </c>
      <c r="D1942" s="1" t="s">
        <v>0</v>
      </c>
      <c r="E1942" s="1" t="s">
        <v>12</v>
      </c>
      <c r="F1942" s="2" t="s">
        <v>0</v>
      </c>
      <c r="G1942" s="3">
        <v>142.63</v>
      </c>
    </row>
    <row r="1943" spans="1:7" ht="114.75" x14ac:dyDescent="0.25">
      <c r="A1943" s="2" t="str">
        <f>"00087631"</f>
        <v>00087631</v>
      </c>
      <c r="B1943" s="2" t="str">
        <f>"QW"</f>
        <v>QW</v>
      </c>
      <c r="C1943" s="1" t="s">
        <v>1616</v>
      </c>
      <c r="D1943" s="1" t="s">
        <v>0</v>
      </c>
      <c r="E1943" s="1" t="s">
        <v>12</v>
      </c>
      <c r="F1943" s="2" t="s">
        <v>0</v>
      </c>
      <c r="G1943" s="3">
        <v>142.63</v>
      </c>
    </row>
    <row r="1944" spans="1:7" ht="114.75" x14ac:dyDescent="0.25">
      <c r="A1944" s="2" t="str">
        <f>"00087632"</f>
        <v>00087632</v>
      </c>
      <c r="B1944" s="2" t="str">
        <f>"  "</f>
        <v xml:space="preserve">  </v>
      </c>
      <c r="C1944" s="1" t="s">
        <v>1617</v>
      </c>
      <c r="D1944" s="1" t="s">
        <v>0</v>
      </c>
      <c r="E1944" s="1" t="s">
        <v>12</v>
      </c>
      <c r="F1944" s="2" t="s">
        <v>0</v>
      </c>
      <c r="G1944" s="3">
        <v>218.06</v>
      </c>
    </row>
    <row r="1945" spans="1:7" ht="114.75" x14ac:dyDescent="0.25">
      <c r="A1945" s="2" t="str">
        <f>"00087633"</f>
        <v>00087633</v>
      </c>
      <c r="B1945" s="2" t="str">
        <f>"  "</f>
        <v xml:space="preserve">  </v>
      </c>
      <c r="C1945" s="1" t="s">
        <v>1618</v>
      </c>
      <c r="D1945" s="1" t="s">
        <v>0</v>
      </c>
      <c r="E1945" s="1" t="s">
        <v>12</v>
      </c>
      <c r="F1945" s="2" t="s">
        <v>0</v>
      </c>
      <c r="G1945" s="3">
        <v>416.78</v>
      </c>
    </row>
    <row r="1946" spans="1:7" ht="114.75" x14ac:dyDescent="0.25">
      <c r="A1946" s="2" t="str">
        <f>"00087633"</f>
        <v>00087633</v>
      </c>
      <c r="B1946" s="2" t="str">
        <f>"QW"</f>
        <v>QW</v>
      </c>
      <c r="C1946" s="1" t="s">
        <v>1619</v>
      </c>
      <c r="D1946" s="1" t="s">
        <v>0</v>
      </c>
      <c r="E1946" s="1" t="s">
        <v>12</v>
      </c>
      <c r="F1946" s="2" t="s">
        <v>0</v>
      </c>
      <c r="G1946" s="3">
        <v>416.78</v>
      </c>
    </row>
    <row r="1947" spans="1:7" ht="43.5" x14ac:dyDescent="0.25">
      <c r="A1947" s="2" t="str">
        <f>"00087634"</f>
        <v>00087634</v>
      </c>
      <c r="B1947" s="2" t="str">
        <f>"  "</f>
        <v xml:space="preserve">  </v>
      </c>
      <c r="C1947" s="1" t="s">
        <v>1620</v>
      </c>
      <c r="D1947" s="1" t="s">
        <v>0</v>
      </c>
      <c r="E1947" s="1" t="s">
        <v>14</v>
      </c>
      <c r="F1947" s="2" t="s">
        <v>0</v>
      </c>
      <c r="G1947" s="17" t="s">
        <v>1769</v>
      </c>
    </row>
    <row r="1948" spans="1:7" ht="43.5" x14ac:dyDescent="0.25">
      <c r="A1948" s="2" t="str">
        <f>"00087634"</f>
        <v>00087634</v>
      </c>
      <c r="B1948" s="2" t="str">
        <f>"QW"</f>
        <v>QW</v>
      </c>
      <c r="C1948" s="1" t="s">
        <v>1621</v>
      </c>
      <c r="D1948" s="1" t="s">
        <v>0</v>
      </c>
      <c r="E1948" s="1" t="s">
        <v>14</v>
      </c>
      <c r="F1948" s="2" t="s">
        <v>0</v>
      </c>
      <c r="G1948" s="17" t="s">
        <v>1769</v>
      </c>
    </row>
    <row r="1949" spans="1:7" ht="43.5" x14ac:dyDescent="0.25">
      <c r="A1949" s="2" t="str">
        <f>"00087634"</f>
        <v>00087634</v>
      </c>
      <c r="B1949" s="2" t="str">
        <f>"90"</f>
        <v>90</v>
      </c>
      <c r="C1949" s="1" t="s">
        <v>1620</v>
      </c>
      <c r="D1949" s="1" t="s">
        <v>0</v>
      </c>
      <c r="E1949" s="1" t="s">
        <v>14</v>
      </c>
      <c r="F1949" s="2" t="s">
        <v>0</v>
      </c>
      <c r="G1949" s="17" t="s">
        <v>1769</v>
      </c>
    </row>
    <row r="1950" spans="1:7" ht="114.75" x14ac:dyDescent="0.25">
      <c r="A1950" s="2" t="str">
        <f>"00087635"</f>
        <v>00087635</v>
      </c>
      <c r="B1950" s="2" t="str">
        <f>"  "</f>
        <v xml:space="preserve">  </v>
      </c>
      <c r="C1950" s="1" t="s">
        <v>1622</v>
      </c>
      <c r="D1950" s="1" t="s">
        <v>0</v>
      </c>
      <c r="E1950" s="1" t="s">
        <v>12</v>
      </c>
      <c r="F1950" s="2" t="s">
        <v>0</v>
      </c>
      <c r="G1950" s="3">
        <v>51.31</v>
      </c>
    </row>
    <row r="1951" spans="1:7" ht="43.5" x14ac:dyDescent="0.25">
      <c r="A1951" s="2" t="str">
        <f>"00087635"</f>
        <v>00087635</v>
      </c>
      <c r="B1951" s="2" t="str">
        <f>"QW"</f>
        <v>QW</v>
      </c>
      <c r="C1951" s="1" t="s">
        <v>1623</v>
      </c>
      <c r="D1951" s="1" t="s">
        <v>0</v>
      </c>
      <c r="E1951" s="1" t="s">
        <v>12</v>
      </c>
      <c r="F1951" s="2" t="s">
        <v>0</v>
      </c>
      <c r="G1951" s="3">
        <v>51.31</v>
      </c>
    </row>
    <row r="1952" spans="1:7" ht="114.75" x14ac:dyDescent="0.25">
      <c r="A1952" s="2" t="str">
        <f>"00087636"</f>
        <v>00087636</v>
      </c>
      <c r="B1952" s="2" t="str">
        <f>"  "</f>
        <v xml:space="preserve">  </v>
      </c>
      <c r="C1952" s="1" t="s">
        <v>1624</v>
      </c>
      <c r="D1952" s="1" t="s">
        <v>0</v>
      </c>
      <c r="E1952" s="1" t="s">
        <v>56</v>
      </c>
      <c r="F1952" s="2" t="s">
        <v>0</v>
      </c>
      <c r="G1952" s="3">
        <v>142.63</v>
      </c>
    </row>
    <row r="1953" spans="1:7" ht="114.75" x14ac:dyDescent="0.25">
      <c r="A1953" s="2" t="str">
        <f>"00087637"</f>
        <v>00087637</v>
      </c>
      <c r="B1953" s="2" t="str">
        <f>"  "</f>
        <v xml:space="preserve">  </v>
      </c>
      <c r="C1953" s="1" t="s">
        <v>1624</v>
      </c>
      <c r="D1953" s="1" t="s">
        <v>0</v>
      </c>
      <c r="E1953" s="1" t="s">
        <v>56</v>
      </c>
      <c r="F1953" s="2" t="s">
        <v>0</v>
      </c>
      <c r="G1953" s="3">
        <v>142.63</v>
      </c>
    </row>
    <row r="1954" spans="1:7" ht="86.25" x14ac:dyDescent="0.25">
      <c r="A1954" s="2" t="str">
        <f>"00087640"</f>
        <v>00087640</v>
      </c>
      <c r="B1954" s="2" t="str">
        <f>"  "</f>
        <v xml:space="preserve">  </v>
      </c>
      <c r="C1954" s="1" t="s">
        <v>1625</v>
      </c>
      <c r="D1954" s="1" t="s">
        <v>0</v>
      </c>
      <c r="E1954" s="1" t="s">
        <v>12</v>
      </c>
      <c r="F1954" s="2" t="s">
        <v>0</v>
      </c>
      <c r="G1954" s="3">
        <v>35.090000000000003</v>
      </c>
    </row>
    <row r="1955" spans="1:7" ht="100.5" x14ac:dyDescent="0.25">
      <c r="A1955" s="2" t="str">
        <f>"00087641"</f>
        <v>00087641</v>
      </c>
      <c r="B1955" s="2" t="str">
        <f>"  "</f>
        <v xml:space="preserve">  </v>
      </c>
      <c r="C1955" s="1" t="s">
        <v>1626</v>
      </c>
      <c r="D1955" s="1" t="s">
        <v>0</v>
      </c>
      <c r="E1955" s="1" t="s">
        <v>12</v>
      </c>
      <c r="F1955" s="2" t="s">
        <v>0</v>
      </c>
      <c r="G1955" s="3">
        <v>35.090000000000003</v>
      </c>
    </row>
    <row r="1956" spans="1:7" ht="57.75" x14ac:dyDescent="0.25">
      <c r="A1956" s="2" t="str">
        <f>"00087650"</f>
        <v>00087650</v>
      </c>
      <c r="B1956" s="2" t="str">
        <f>"  "</f>
        <v xml:space="preserve">  </v>
      </c>
      <c r="C1956" s="1" t="s">
        <v>1627</v>
      </c>
      <c r="D1956" s="1" t="s">
        <v>0</v>
      </c>
      <c r="E1956" s="1" t="s">
        <v>12</v>
      </c>
      <c r="F1956" s="2" t="s">
        <v>0</v>
      </c>
      <c r="G1956" s="3">
        <v>20.05</v>
      </c>
    </row>
    <row r="1957" spans="1:7" ht="57.75" x14ac:dyDescent="0.25">
      <c r="A1957" s="2" t="str">
        <f>"00087650"</f>
        <v>00087650</v>
      </c>
      <c r="B1957" s="2" t="str">
        <f>"QW"</f>
        <v>QW</v>
      </c>
      <c r="C1957" s="1" t="s">
        <v>1627</v>
      </c>
      <c r="D1957" s="1" t="s">
        <v>0</v>
      </c>
      <c r="E1957" s="1" t="s">
        <v>12</v>
      </c>
      <c r="F1957" s="2" t="s">
        <v>0</v>
      </c>
      <c r="G1957" s="3">
        <v>20.05</v>
      </c>
    </row>
    <row r="1958" spans="1:7" ht="57.75" x14ac:dyDescent="0.25">
      <c r="A1958" s="2" t="str">
        <f>"00087651"</f>
        <v>00087651</v>
      </c>
      <c r="B1958" s="2" t="str">
        <f>"  "</f>
        <v xml:space="preserve">  </v>
      </c>
      <c r="C1958" s="1" t="s">
        <v>1628</v>
      </c>
      <c r="D1958" s="1" t="s">
        <v>0</v>
      </c>
      <c r="E1958" s="1" t="s">
        <v>12</v>
      </c>
      <c r="F1958" s="2" t="s">
        <v>0</v>
      </c>
      <c r="G1958" s="3">
        <v>35.090000000000003</v>
      </c>
    </row>
    <row r="1959" spans="1:7" ht="57.75" x14ac:dyDescent="0.25">
      <c r="A1959" s="2" t="str">
        <f>"00087651"</f>
        <v>00087651</v>
      </c>
      <c r="B1959" s="2" t="str">
        <f>"QW"</f>
        <v>QW</v>
      </c>
      <c r="C1959" s="1" t="s">
        <v>1629</v>
      </c>
      <c r="D1959" s="1" t="s">
        <v>0</v>
      </c>
      <c r="E1959" s="1" t="s">
        <v>12</v>
      </c>
      <c r="F1959" s="2" t="s">
        <v>0</v>
      </c>
      <c r="G1959" s="3">
        <v>35.090000000000003</v>
      </c>
    </row>
    <row r="1960" spans="1:7" ht="57.75" x14ac:dyDescent="0.25">
      <c r="A1960" s="2" t="str">
        <f>"00087652"</f>
        <v>00087652</v>
      </c>
      <c r="B1960" s="2" t="str">
        <f>"  "</f>
        <v xml:space="preserve">  </v>
      </c>
      <c r="C1960" s="1" t="s">
        <v>1630</v>
      </c>
      <c r="D1960" s="1" t="s">
        <v>0</v>
      </c>
      <c r="E1960" s="1" t="s">
        <v>12</v>
      </c>
      <c r="F1960" s="2" t="s">
        <v>0</v>
      </c>
      <c r="G1960" s="3">
        <v>41.76</v>
      </c>
    </row>
    <row r="1961" spans="1:7" ht="86.25" x14ac:dyDescent="0.25">
      <c r="A1961" s="2" t="str">
        <f>"00087653"</f>
        <v>00087653</v>
      </c>
      <c r="B1961" s="2" t="str">
        <f>"  "</f>
        <v xml:space="preserve">  </v>
      </c>
      <c r="C1961" s="1" t="s">
        <v>1631</v>
      </c>
      <c r="D1961" s="1" t="s">
        <v>0</v>
      </c>
      <c r="E1961" s="1" t="s">
        <v>12</v>
      </c>
      <c r="F1961" s="2" t="s">
        <v>0</v>
      </c>
      <c r="G1961" s="3">
        <v>35.090000000000003</v>
      </c>
    </row>
    <row r="1962" spans="1:7" ht="72" x14ac:dyDescent="0.25">
      <c r="A1962" s="2" t="str">
        <f>"00087660"</f>
        <v>00087660</v>
      </c>
      <c r="B1962" s="2" t="str">
        <f>"  "</f>
        <v xml:space="preserve">  </v>
      </c>
      <c r="C1962" s="1" t="s">
        <v>1632</v>
      </c>
      <c r="D1962" s="1" t="s">
        <v>0</v>
      </c>
      <c r="E1962" s="1" t="s">
        <v>12</v>
      </c>
      <c r="F1962" s="2" t="s">
        <v>0</v>
      </c>
      <c r="G1962" s="3">
        <v>20.05</v>
      </c>
    </row>
    <row r="1963" spans="1:7" ht="86.25" x14ac:dyDescent="0.25">
      <c r="A1963" s="2" t="str">
        <f>"00087661"</f>
        <v>00087661</v>
      </c>
      <c r="B1963" s="2" t="str">
        <f>"  "</f>
        <v xml:space="preserve">  </v>
      </c>
      <c r="C1963" s="1" t="s">
        <v>1633</v>
      </c>
      <c r="D1963" s="1" t="s">
        <v>0</v>
      </c>
      <c r="E1963" s="1" t="s">
        <v>12</v>
      </c>
      <c r="F1963" s="2" t="s">
        <v>0</v>
      </c>
      <c r="G1963" s="3">
        <v>35.090000000000003</v>
      </c>
    </row>
    <row r="1964" spans="1:7" ht="29.25" x14ac:dyDescent="0.25">
      <c r="A1964" s="2" t="str">
        <f>"00087662"</f>
        <v>00087662</v>
      </c>
      <c r="B1964" s="2" t="str">
        <f>"  "</f>
        <v xml:space="preserve">  </v>
      </c>
      <c r="C1964" s="1" t="s">
        <v>1634</v>
      </c>
      <c r="D1964" s="1" t="s">
        <v>0</v>
      </c>
      <c r="E1964" s="1" t="s">
        <v>14</v>
      </c>
      <c r="F1964" s="2" t="s">
        <v>0</v>
      </c>
      <c r="G1964" s="17" t="s">
        <v>1769</v>
      </c>
    </row>
    <row r="1965" spans="1:7" ht="29.25" x14ac:dyDescent="0.25">
      <c r="A1965" s="2" t="str">
        <f>"00087662"</f>
        <v>00087662</v>
      </c>
      <c r="B1965" s="2" t="str">
        <f>"90"</f>
        <v>90</v>
      </c>
      <c r="C1965" s="1" t="s">
        <v>1634</v>
      </c>
      <c r="D1965" s="1" t="s">
        <v>0</v>
      </c>
      <c r="E1965" s="1" t="s">
        <v>14</v>
      </c>
      <c r="F1965" s="2" t="s">
        <v>0</v>
      </c>
      <c r="G1965" s="17" t="s">
        <v>1769</v>
      </c>
    </row>
    <row r="1966" spans="1:7" ht="86.25" x14ac:dyDescent="0.25">
      <c r="A1966" s="2" t="str">
        <f>"00087797"</f>
        <v>00087797</v>
      </c>
      <c r="B1966" s="2" t="str">
        <f>"  "</f>
        <v xml:space="preserve">  </v>
      </c>
      <c r="C1966" s="1" t="s">
        <v>1635</v>
      </c>
      <c r="D1966" s="1" t="s">
        <v>0</v>
      </c>
      <c r="E1966" s="1" t="s">
        <v>12</v>
      </c>
      <c r="F1966" s="2" t="s">
        <v>0</v>
      </c>
      <c r="G1966" s="3">
        <v>30.03</v>
      </c>
    </row>
    <row r="1967" spans="1:7" ht="100.5" x14ac:dyDescent="0.25">
      <c r="A1967" s="2" t="str">
        <f>"00087798"</f>
        <v>00087798</v>
      </c>
      <c r="B1967" s="2" t="str">
        <f>"  "</f>
        <v xml:space="preserve">  </v>
      </c>
      <c r="C1967" s="1" t="s">
        <v>1636</v>
      </c>
      <c r="D1967" s="1" t="s">
        <v>0</v>
      </c>
      <c r="E1967" s="1" t="s">
        <v>12</v>
      </c>
      <c r="F1967" s="2" t="s">
        <v>0</v>
      </c>
      <c r="G1967" s="3">
        <v>35.090000000000003</v>
      </c>
    </row>
    <row r="1968" spans="1:7" ht="86.25" x14ac:dyDescent="0.25">
      <c r="A1968" s="2" t="str">
        <f>"00087799"</f>
        <v>00087799</v>
      </c>
      <c r="B1968" s="2" t="str">
        <f>"  "</f>
        <v xml:space="preserve">  </v>
      </c>
      <c r="C1968" s="1" t="s">
        <v>1637</v>
      </c>
      <c r="D1968" s="1" t="s">
        <v>0</v>
      </c>
      <c r="E1968" s="1" t="s">
        <v>12</v>
      </c>
      <c r="F1968" s="2" t="s">
        <v>0</v>
      </c>
      <c r="G1968" s="3">
        <v>42.84</v>
      </c>
    </row>
    <row r="1969" spans="1:7" ht="86.25" x14ac:dyDescent="0.25">
      <c r="A1969" s="2" t="str">
        <f>"00087800"</f>
        <v>00087800</v>
      </c>
      <c r="B1969" s="2" t="str">
        <f>"  "</f>
        <v xml:space="preserve">  </v>
      </c>
      <c r="C1969" s="1" t="s">
        <v>1638</v>
      </c>
      <c r="D1969" s="1" t="s">
        <v>0</v>
      </c>
      <c r="E1969" s="1" t="s">
        <v>12</v>
      </c>
      <c r="F1969" s="2" t="s">
        <v>0</v>
      </c>
      <c r="G1969" s="3">
        <v>43.67</v>
      </c>
    </row>
    <row r="1970" spans="1:7" ht="86.25" x14ac:dyDescent="0.25">
      <c r="A1970" s="2" t="str">
        <f>"00087801"</f>
        <v>00087801</v>
      </c>
      <c r="B1970" s="2" t="str">
        <f>"  "</f>
        <v xml:space="preserve">  </v>
      </c>
      <c r="C1970" s="1" t="s">
        <v>1639</v>
      </c>
      <c r="D1970" s="1" t="s">
        <v>0</v>
      </c>
      <c r="E1970" s="1" t="s">
        <v>12</v>
      </c>
      <c r="F1970" s="2" t="s">
        <v>0</v>
      </c>
      <c r="G1970" s="3">
        <v>70.2</v>
      </c>
    </row>
    <row r="1971" spans="1:7" ht="86.25" x14ac:dyDescent="0.25">
      <c r="A1971" s="2" t="str">
        <f>"00087801"</f>
        <v>00087801</v>
      </c>
      <c r="B1971" s="2" t="str">
        <f>"QW"</f>
        <v>QW</v>
      </c>
      <c r="C1971" s="1" t="s">
        <v>1639</v>
      </c>
      <c r="D1971" s="1" t="s">
        <v>0</v>
      </c>
      <c r="E1971" s="1" t="s">
        <v>12</v>
      </c>
      <c r="F1971" s="2" t="s">
        <v>0</v>
      </c>
      <c r="G1971" s="3">
        <v>70.2</v>
      </c>
    </row>
    <row r="1972" spans="1:7" ht="86.25" x14ac:dyDescent="0.25">
      <c r="A1972" s="2" t="str">
        <f>"00087802"</f>
        <v>00087802</v>
      </c>
      <c r="B1972" s="2" t="str">
        <f>"  "</f>
        <v xml:space="preserve">  </v>
      </c>
      <c r="C1972" s="1" t="s">
        <v>1640</v>
      </c>
      <c r="D1972" s="1" t="s">
        <v>0</v>
      </c>
      <c r="E1972" s="1" t="s">
        <v>12</v>
      </c>
      <c r="F1972" s="2" t="s">
        <v>0</v>
      </c>
      <c r="G1972" s="3">
        <v>12.73</v>
      </c>
    </row>
    <row r="1973" spans="1:7" ht="86.25" x14ac:dyDescent="0.25">
      <c r="A1973" s="2" t="str">
        <f>"00087803"</f>
        <v>00087803</v>
      </c>
      <c r="B1973" s="2" t="str">
        <f>"  "</f>
        <v xml:space="preserve">  </v>
      </c>
      <c r="C1973" s="1" t="s">
        <v>1641</v>
      </c>
      <c r="D1973" s="1" t="s">
        <v>0</v>
      </c>
      <c r="E1973" s="1" t="s">
        <v>12</v>
      </c>
      <c r="F1973" s="2" t="s">
        <v>0</v>
      </c>
      <c r="G1973" s="3">
        <v>16</v>
      </c>
    </row>
    <row r="1974" spans="1:7" ht="72" x14ac:dyDescent="0.25">
      <c r="A1974" s="2" t="str">
        <f>"00087804"</f>
        <v>00087804</v>
      </c>
      <c r="B1974" s="2" t="str">
        <f>"  "</f>
        <v xml:space="preserve">  </v>
      </c>
      <c r="C1974" s="1" t="s">
        <v>1642</v>
      </c>
      <c r="D1974" s="1" t="s">
        <v>0</v>
      </c>
      <c r="E1974" s="1" t="s">
        <v>12</v>
      </c>
      <c r="F1974" s="2" t="s">
        <v>0</v>
      </c>
      <c r="G1974" s="3">
        <v>16.55</v>
      </c>
    </row>
    <row r="1975" spans="1:7" ht="72" x14ac:dyDescent="0.25">
      <c r="A1975" s="2" t="str">
        <f>"00087804"</f>
        <v>00087804</v>
      </c>
      <c r="B1975" s="2" t="str">
        <f>"QW"</f>
        <v>QW</v>
      </c>
      <c r="C1975" s="1" t="s">
        <v>1642</v>
      </c>
      <c r="D1975" s="1" t="s">
        <v>0</v>
      </c>
      <c r="E1975" s="1" t="s">
        <v>12</v>
      </c>
      <c r="F1975" s="2" t="s">
        <v>0</v>
      </c>
      <c r="G1975" s="3">
        <v>16.55</v>
      </c>
    </row>
    <row r="1976" spans="1:7" x14ac:dyDescent="0.25">
      <c r="A1976" s="2" t="str">
        <f>"00087806"</f>
        <v>00087806</v>
      </c>
      <c r="B1976" s="2" t="str">
        <f>"  "</f>
        <v xml:space="preserve">  </v>
      </c>
      <c r="C1976" s="1" t="s">
        <v>1643</v>
      </c>
      <c r="D1976" s="1" t="s">
        <v>0</v>
      </c>
      <c r="E1976" s="1" t="s">
        <v>12</v>
      </c>
      <c r="F1976" s="2" t="s">
        <v>0</v>
      </c>
      <c r="G1976" s="3">
        <v>32.770000000000003</v>
      </c>
    </row>
    <row r="1977" spans="1:7" x14ac:dyDescent="0.25">
      <c r="A1977" s="2" t="str">
        <f>"00087806"</f>
        <v>00087806</v>
      </c>
      <c r="B1977" s="2" t="str">
        <f>"QW"</f>
        <v>QW</v>
      </c>
      <c r="C1977" s="1" t="s">
        <v>1644</v>
      </c>
      <c r="D1977" s="1" t="s">
        <v>0</v>
      </c>
      <c r="E1977" s="1" t="s">
        <v>12</v>
      </c>
      <c r="F1977" s="2" t="s">
        <v>0</v>
      </c>
      <c r="G1977" s="3">
        <v>32.770000000000003</v>
      </c>
    </row>
    <row r="1978" spans="1:7" ht="86.25" x14ac:dyDescent="0.25">
      <c r="A1978" s="2" t="str">
        <f>"00087807"</f>
        <v>00087807</v>
      </c>
      <c r="B1978" s="2" t="str">
        <f>"  "</f>
        <v xml:space="preserve">  </v>
      </c>
      <c r="C1978" s="1" t="s">
        <v>1645</v>
      </c>
      <c r="D1978" s="1" t="s">
        <v>0</v>
      </c>
      <c r="E1978" s="1" t="s">
        <v>12</v>
      </c>
      <c r="F1978" s="2" t="s">
        <v>0</v>
      </c>
      <c r="G1978" s="3">
        <v>13.1</v>
      </c>
    </row>
    <row r="1979" spans="1:7" ht="86.25" x14ac:dyDescent="0.25">
      <c r="A1979" s="2" t="str">
        <f>"00087807"</f>
        <v>00087807</v>
      </c>
      <c r="B1979" s="2" t="str">
        <f>"QW"</f>
        <v>QW</v>
      </c>
      <c r="C1979" s="1" t="s">
        <v>1646</v>
      </c>
      <c r="D1979" s="1" t="s">
        <v>0</v>
      </c>
      <c r="E1979" s="1" t="s">
        <v>12</v>
      </c>
      <c r="F1979" s="2" t="s">
        <v>0</v>
      </c>
      <c r="G1979" s="3">
        <v>13.1</v>
      </c>
    </row>
    <row r="1980" spans="1:7" ht="72" x14ac:dyDescent="0.25">
      <c r="A1980" s="2" t="str">
        <f>"00087808"</f>
        <v>00087808</v>
      </c>
      <c r="B1980" s="2" t="str">
        <f>"  "</f>
        <v xml:space="preserve">  </v>
      </c>
      <c r="C1980" s="1" t="s">
        <v>1647</v>
      </c>
      <c r="D1980" s="1" t="s">
        <v>0</v>
      </c>
      <c r="E1980" s="1" t="s">
        <v>12</v>
      </c>
      <c r="F1980" s="2" t="s">
        <v>0</v>
      </c>
      <c r="G1980" s="3">
        <v>15.29</v>
      </c>
    </row>
    <row r="1981" spans="1:7" ht="72" x14ac:dyDescent="0.25">
      <c r="A1981" s="2" t="str">
        <f>"00087808"</f>
        <v>00087808</v>
      </c>
      <c r="B1981" s="2" t="str">
        <f>"QW"</f>
        <v>QW</v>
      </c>
      <c r="C1981" s="1" t="s">
        <v>1648</v>
      </c>
      <c r="D1981" s="1" t="s">
        <v>0</v>
      </c>
      <c r="E1981" s="1" t="s">
        <v>12</v>
      </c>
      <c r="F1981" s="2" t="s">
        <v>0</v>
      </c>
      <c r="G1981" s="3">
        <v>15.29</v>
      </c>
    </row>
    <row r="1982" spans="1:7" ht="72" x14ac:dyDescent="0.25">
      <c r="A1982" s="2" t="str">
        <f>"00087809"</f>
        <v>00087809</v>
      </c>
      <c r="B1982" s="2" t="str">
        <f>"  "</f>
        <v xml:space="preserve">  </v>
      </c>
      <c r="C1982" s="1" t="s">
        <v>1649</v>
      </c>
      <c r="D1982" s="1" t="s">
        <v>0</v>
      </c>
      <c r="E1982" s="1" t="s">
        <v>12</v>
      </c>
      <c r="F1982" s="2" t="s">
        <v>0</v>
      </c>
      <c r="G1982" s="3">
        <v>21.76</v>
      </c>
    </row>
    <row r="1983" spans="1:7" ht="72" x14ac:dyDescent="0.25">
      <c r="A1983" s="2" t="str">
        <f>"00087809"</f>
        <v>00087809</v>
      </c>
      <c r="B1983" s="2" t="str">
        <f>"QW"</f>
        <v>QW</v>
      </c>
      <c r="C1983" s="1" t="s">
        <v>1649</v>
      </c>
      <c r="D1983" s="1" t="s">
        <v>0</v>
      </c>
      <c r="E1983" s="1" t="s">
        <v>12</v>
      </c>
      <c r="F1983" s="2" t="s">
        <v>0</v>
      </c>
      <c r="G1983" s="3">
        <v>21.76</v>
      </c>
    </row>
    <row r="1984" spans="1:7" ht="72" x14ac:dyDescent="0.25">
      <c r="A1984" s="2" t="str">
        <f>"00087810"</f>
        <v>00087810</v>
      </c>
      <c r="B1984" s="2" t="str">
        <f>"  "</f>
        <v xml:space="preserve">  </v>
      </c>
      <c r="C1984" s="1" t="s">
        <v>1650</v>
      </c>
      <c r="D1984" s="1" t="s">
        <v>0</v>
      </c>
      <c r="E1984" s="1" t="s">
        <v>12</v>
      </c>
      <c r="F1984" s="2" t="s">
        <v>0</v>
      </c>
      <c r="G1984" s="3">
        <v>35.29</v>
      </c>
    </row>
    <row r="1985" spans="1:7" ht="114.75" x14ac:dyDescent="0.25">
      <c r="A1985" s="2" t="str">
        <f>"00087811"</f>
        <v>00087811</v>
      </c>
      <c r="B1985" s="2" t="str">
        <f>"  "</f>
        <v xml:space="preserve">  </v>
      </c>
      <c r="C1985" s="1" t="s">
        <v>1624</v>
      </c>
      <c r="D1985" s="1" t="s">
        <v>0</v>
      </c>
      <c r="E1985" s="1" t="s">
        <v>56</v>
      </c>
      <c r="F1985" s="2" t="s">
        <v>0</v>
      </c>
      <c r="G1985" s="3">
        <v>41.38</v>
      </c>
    </row>
    <row r="1986" spans="1:7" ht="43.5" x14ac:dyDescent="0.25">
      <c r="A1986" s="2" t="str">
        <f>"00087850"</f>
        <v>00087850</v>
      </c>
      <c r="B1986" s="2" t="str">
        <f>"  "</f>
        <v xml:space="preserve">  </v>
      </c>
      <c r="C1986" s="1" t="s">
        <v>1651</v>
      </c>
      <c r="D1986" s="1" t="s">
        <v>0</v>
      </c>
      <c r="E1986" s="1" t="s">
        <v>12</v>
      </c>
      <c r="F1986" s="2" t="s">
        <v>0</v>
      </c>
      <c r="G1986" s="3">
        <v>24.56</v>
      </c>
    </row>
    <row r="1987" spans="1:7" ht="43.5" x14ac:dyDescent="0.25">
      <c r="A1987" s="2" t="str">
        <f>"00087880"</f>
        <v>00087880</v>
      </c>
      <c r="B1987" s="2" t="str">
        <f>"  "</f>
        <v xml:space="preserve">  </v>
      </c>
      <c r="C1987" s="1" t="s">
        <v>1652</v>
      </c>
      <c r="D1987" s="1" t="s">
        <v>0</v>
      </c>
      <c r="E1987" s="1" t="s">
        <v>12</v>
      </c>
      <c r="F1987" s="2" t="s">
        <v>0</v>
      </c>
      <c r="G1987" s="3">
        <v>16.53</v>
      </c>
    </row>
    <row r="1988" spans="1:7" ht="57.75" x14ac:dyDescent="0.25">
      <c r="A1988" s="2" t="str">
        <f>"00087880"</f>
        <v>00087880</v>
      </c>
      <c r="B1988" s="2" t="str">
        <f>"QW"</f>
        <v>QW</v>
      </c>
      <c r="C1988" s="1" t="s">
        <v>1653</v>
      </c>
      <c r="D1988" s="1" t="s">
        <v>0</v>
      </c>
      <c r="E1988" s="1" t="s">
        <v>12</v>
      </c>
      <c r="F1988" s="2" t="s">
        <v>0</v>
      </c>
      <c r="G1988" s="3">
        <v>16.53</v>
      </c>
    </row>
    <row r="1989" spans="1:7" ht="29.25" x14ac:dyDescent="0.25">
      <c r="A1989" s="2" t="str">
        <f>"00087899"</f>
        <v>00087899</v>
      </c>
      <c r="B1989" s="2" t="str">
        <f>"  "</f>
        <v xml:space="preserve">  </v>
      </c>
      <c r="C1989" s="1" t="s">
        <v>1654</v>
      </c>
      <c r="D1989" s="1" t="s">
        <v>0</v>
      </c>
      <c r="E1989" s="1" t="s">
        <v>12</v>
      </c>
      <c r="F1989" s="2" t="s">
        <v>0</v>
      </c>
      <c r="G1989" s="3">
        <v>16.07</v>
      </c>
    </row>
    <row r="1990" spans="1:7" ht="86.25" x14ac:dyDescent="0.25">
      <c r="A1990" s="2" t="str">
        <f>"00087899"</f>
        <v>00087899</v>
      </c>
      <c r="B1990" s="2" t="str">
        <f>"QW"</f>
        <v>QW</v>
      </c>
      <c r="C1990" s="1" t="s">
        <v>1655</v>
      </c>
      <c r="D1990" s="1" t="s">
        <v>0</v>
      </c>
      <c r="E1990" s="1" t="s">
        <v>12</v>
      </c>
      <c r="F1990" s="2" t="s">
        <v>0</v>
      </c>
      <c r="G1990" s="3">
        <v>16.07</v>
      </c>
    </row>
    <row r="1991" spans="1:7" ht="86.25" x14ac:dyDescent="0.25">
      <c r="A1991" s="2" t="str">
        <f>"00087900"</f>
        <v>00087900</v>
      </c>
      <c r="B1991" s="2" t="str">
        <f t="shared" ref="B1991:B1996" si="72">"  "</f>
        <v xml:space="preserve">  </v>
      </c>
      <c r="C1991" s="1" t="s">
        <v>1656</v>
      </c>
      <c r="D1991" s="1" t="s">
        <v>0</v>
      </c>
      <c r="E1991" s="1" t="s">
        <v>12</v>
      </c>
      <c r="F1991" s="2" t="s">
        <v>0</v>
      </c>
      <c r="G1991" s="3">
        <v>130.35</v>
      </c>
    </row>
    <row r="1992" spans="1:7" ht="86.25" x14ac:dyDescent="0.25">
      <c r="A1992" s="2" t="str">
        <f>"00087901"</f>
        <v>00087901</v>
      </c>
      <c r="B1992" s="2" t="str">
        <f t="shared" si="72"/>
        <v xml:space="preserve">  </v>
      </c>
      <c r="C1992" s="1" t="s">
        <v>1657</v>
      </c>
      <c r="D1992" s="1" t="s">
        <v>0</v>
      </c>
      <c r="E1992" s="1" t="s">
        <v>12</v>
      </c>
      <c r="F1992" s="2" t="s">
        <v>0</v>
      </c>
      <c r="G1992" s="3">
        <v>257.45</v>
      </c>
    </row>
    <row r="1993" spans="1:7" ht="57.75" x14ac:dyDescent="0.25">
      <c r="A1993" s="2" t="str">
        <f>"00087902"</f>
        <v>00087902</v>
      </c>
      <c r="B1993" s="2" t="str">
        <f t="shared" si="72"/>
        <v xml:space="preserve">  </v>
      </c>
      <c r="C1993" s="1" t="s">
        <v>1658</v>
      </c>
      <c r="D1993" s="1" t="s">
        <v>0</v>
      </c>
      <c r="E1993" s="1" t="s">
        <v>12</v>
      </c>
      <c r="F1993" s="2" t="s">
        <v>0</v>
      </c>
      <c r="G1993" s="3">
        <v>257.45</v>
      </c>
    </row>
    <row r="1994" spans="1:7" ht="100.5" x14ac:dyDescent="0.25">
      <c r="A1994" s="2" t="str">
        <f>"00087903"</f>
        <v>00087903</v>
      </c>
      <c r="B1994" s="2" t="str">
        <f t="shared" si="72"/>
        <v xml:space="preserve">  </v>
      </c>
      <c r="C1994" s="1" t="s">
        <v>1659</v>
      </c>
      <c r="D1994" s="1" t="s">
        <v>0</v>
      </c>
      <c r="E1994" s="1" t="s">
        <v>12</v>
      </c>
      <c r="F1994" s="2" t="s">
        <v>0</v>
      </c>
      <c r="G1994" s="3">
        <v>488.66</v>
      </c>
    </row>
    <row r="1995" spans="1:7" ht="114.75" x14ac:dyDescent="0.25">
      <c r="A1995" s="2" t="str">
        <f>"00087904"</f>
        <v>00087904</v>
      </c>
      <c r="B1995" s="2" t="str">
        <f t="shared" si="72"/>
        <v xml:space="preserve">  </v>
      </c>
      <c r="C1995" s="1" t="s">
        <v>1660</v>
      </c>
      <c r="D1995" s="1" t="s">
        <v>0</v>
      </c>
      <c r="E1995" s="1" t="s">
        <v>12</v>
      </c>
      <c r="F1995" s="2" t="s">
        <v>0</v>
      </c>
      <c r="G1995" s="3">
        <v>26.07</v>
      </c>
    </row>
    <row r="1996" spans="1:7" ht="57.75" x14ac:dyDescent="0.25">
      <c r="A1996" s="2" t="str">
        <f>"00087905"</f>
        <v>00087905</v>
      </c>
      <c r="B1996" s="2" t="str">
        <f t="shared" si="72"/>
        <v xml:space="preserve">  </v>
      </c>
      <c r="C1996" s="1" t="s">
        <v>1661</v>
      </c>
      <c r="D1996" s="1" t="s">
        <v>0</v>
      </c>
      <c r="E1996" s="1" t="s">
        <v>12</v>
      </c>
      <c r="F1996" s="2" t="s">
        <v>0</v>
      </c>
      <c r="G1996" s="3">
        <v>12.22</v>
      </c>
    </row>
    <row r="1997" spans="1:7" ht="72" x14ac:dyDescent="0.25">
      <c r="A1997" s="2" t="str">
        <f>"00087905"</f>
        <v>00087905</v>
      </c>
      <c r="B1997" s="2" t="str">
        <f>"QW"</f>
        <v>QW</v>
      </c>
      <c r="C1997" s="1" t="s">
        <v>1662</v>
      </c>
      <c r="D1997" s="1" t="s">
        <v>0</v>
      </c>
      <c r="E1997" s="1" t="s">
        <v>12</v>
      </c>
      <c r="F1997" s="2" t="s">
        <v>0</v>
      </c>
      <c r="G1997" s="3">
        <v>12.22</v>
      </c>
    </row>
    <row r="1998" spans="1:7" ht="72" x14ac:dyDescent="0.25">
      <c r="A1998" s="2" t="str">
        <f>"00087906"</f>
        <v>00087906</v>
      </c>
      <c r="B1998" s="2" t="str">
        <f>"  "</f>
        <v xml:space="preserve">  </v>
      </c>
      <c r="C1998" s="1" t="s">
        <v>1663</v>
      </c>
      <c r="D1998" s="1" t="s">
        <v>0</v>
      </c>
      <c r="E1998" s="1" t="s">
        <v>12</v>
      </c>
      <c r="F1998" s="2" t="s">
        <v>0</v>
      </c>
      <c r="G1998" s="3">
        <v>128.72999999999999</v>
      </c>
    </row>
    <row r="1999" spans="1:7" ht="29.25" x14ac:dyDescent="0.25">
      <c r="A1999" s="2" t="str">
        <f>"00087910"</f>
        <v>00087910</v>
      </c>
      <c r="B1999" s="2" t="str">
        <f>"  "</f>
        <v xml:space="preserve">  </v>
      </c>
      <c r="C1999" s="1" t="s">
        <v>1664</v>
      </c>
      <c r="D1999" s="1" t="s">
        <v>0</v>
      </c>
      <c r="E1999" s="1" t="s">
        <v>12</v>
      </c>
      <c r="F1999" s="2" t="s">
        <v>0</v>
      </c>
      <c r="G1999" s="3">
        <v>257.45</v>
      </c>
    </row>
    <row r="2000" spans="1:7" ht="29.25" x14ac:dyDescent="0.25">
      <c r="A2000" s="2" t="str">
        <f>"00087912"</f>
        <v>00087912</v>
      </c>
      <c r="B2000" s="2" t="str">
        <f>"  "</f>
        <v xml:space="preserve">  </v>
      </c>
      <c r="C2000" s="1" t="s">
        <v>1665</v>
      </c>
      <c r="D2000" s="1" t="s">
        <v>0</v>
      </c>
      <c r="E2000" s="1" t="s">
        <v>12</v>
      </c>
      <c r="F2000" s="2" t="s">
        <v>0</v>
      </c>
      <c r="G2000" s="3">
        <v>257.45</v>
      </c>
    </row>
    <row r="2001" spans="1:7" ht="43.5" x14ac:dyDescent="0.25">
      <c r="A2001" s="2" t="str">
        <f>"00087913"</f>
        <v>00087913</v>
      </c>
      <c r="B2001" s="2" t="str">
        <f>"  "</f>
        <v xml:space="preserve">  </v>
      </c>
      <c r="C2001" s="1" t="s">
        <v>1666</v>
      </c>
      <c r="D2001" s="1" t="s">
        <v>0</v>
      </c>
      <c r="E2001" s="1" t="s">
        <v>12</v>
      </c>
      <c r="F2001" s="2" t="s">
        <v>0</v>
      </c>
      <c r="G2001" s="3">
        <v>257.45</v>
      </c>
    </row>
    <row r="2002" spans="1:7" ht="43.5" x14ac:dyDescent="0.25">
      <c r="A2002" s="2" t="str">
        <f>"00087913"</f>
        <v>00087913</v>
      </c>
      <c r="B2002" s="2" t="str">
        <f>"90"</f>
        <v>90</v>
      </c>
      <c r="C2002" s="1" t="s">
        <v>1666</v>
      </c>
      <c r="D2002" s="1" t="s">
        <v>0</v>
      </c>
      <c r="E2002" s="1" t="s">
        <v>14</v>
      </c>
      <c r="F2002" s="2" t="s">
        <v>0</v>
      </c>
      <c r="G2002" s="17" t="s">
        <v>1769</v>
      </c>
    </row>
    <row r="2003" spans="1:7" ht="72" x14ac:dyDescent="0.25">
      <c r="A2003" s="2" t="str">
        <f>"00088130"</f>
        <v>00088130</v>
      </c>
      <c r="B2003" s="2" t="str">
        <f t="shared" ref="B2003:B2045" si="73">"  "</f>
        <v xml:space="preserve">  </v>
      </c>
      <c r="C2003" s="1" t="s">
        <v>1667</v>
      </c>
      <c r="D2003" s="1" t="s">
        <v>0</v>
      </c>
      <c r="E2003" s="1" t="s">
        <v>12</v>
      </c>
      <c r="F2003" s="2" t="s">
        <v>0</v>
      </c>
      <c r="G2003" s="3">
        <v>17.98</v>
      </c>
    </row>
    <row r="2004" spans="1:7" ht="72" x14ac:dyDescent="0.25">
      <c r="A2004" s="2" t="str">
        <f>"00088140"</f>
        <v>00088140</v>
      </c>
      <c r="B2004" s="2" t="str">
        <f t="shared" si="73"/>
        <v xml:space="preserve">  </v>
      </c>
      <c r="C2004" s="1" t="s">
        <v>1668</v>
      </c>
      <c r="D2004" s="1" t="s">
        <v>0</v>
      </c>
      <c r="E2004" s="1" t="s">
        <v>12</v>
      </c>
      <c r="F2004" s="2" t="s">
        <v>0</v>
      </c>
      <c r="G2004" s="3">
        <v>7.99</v>
      </c>
    </row>
    <row r="2005" spans="1:7" ht="114.75" x14ac:dyDescent="0.25">
      <c r="A2005" s="2" t="str">
        <f>"00088142"</f>
        <v>00088142</v>
      </c>
      <c r="B2005" s="2" t="str">
        <f t="shared" si="73"/>
        <v xml:space="preserve">  </v>
      </c>
      <c r="C2005" s="1" t="s">
        <v>1669</v>
      </c>
      <c r="D2005" s="1" t="s">
        <v>0</v>
      </c>
      <c r="E2005" s="1" t="s">
        <v>12</v>
      </c>
      <c r="F2005" s="2" t="s">
        <v>0</v>
      </c>
      <c r="G2005" s="3">
        <v>20.260000000000002</v>
      </c>
    </row>
    <row r="2006" spans="1:7" ht="100.5" x14ac:dyDescent="0.25">
      <c r="A2006" s="2" t="str">
        <f>"00088143"</f>
        <v>00088143</v>
      </c>
      <c r="B2006" s="2" t="str">
        <f t="shared" si="73"/>
        <v xml:space="preserve">  </v>
      </c>
      <c r="C2006" s="1" t="s">
        <v>1670</v>
      </c>
      <c r="D2006" s="1" t="s">
        <v>0</v>
      </c>
      <c r="E2006" s="1" t="s">
        <v>12</v>
      </c>
      <c r="F2006" s="2" t="s">
        <v>0</v>
      </c>
      <c r="G2006" s="3">
        <v>23.04</v>
      </c>
    </row>
    <row r="2007" spans="1:7" ht="72" x14ac:dyDescent="0.25">
      <c r="A2007" s="2" t="str">
        <f>"00088147"</f>
        <v>00088147</v>
      </c>
      <c r="B2007" s="2" t="str">
        <f t="shared" si="73"/>
        <v xml:space="preserve">  </v>
      </c>
      <c r="C2007" s="1" t="s">
        <v>1671</v>
      </c>
      <c r="D2007" s="1" t="s">
        <v>0</v>
      </c>
      <c r="E2007" s="1" t="s">
        <v>12</v>
      </c>
      <c r="F2007" s="2" t="s">
        <v>0</v>
      </c>
      <c r="G2007" s="3">
        <v>50.56</v>
      </c>
    </row>
    <row r="2008" spans="1:7" ht="72" x14ac:dyDescent="0.25">
      <c r="A2008" s="2" t="str">
        <f>"00088148"</f>
        <v>00088148</v>
      </c>
      <c r="B2008" s="2" t="str">
        <f t="shared" si="73"/>
        <v xml:space="preserve">  </v>
      </c>
      <c r="C2008" s="1" t="s">
        <v>1672</v>
      </c>
      <c r="D2008" s="1" t="s">
        <v>0</v>
      </c>
      <c r="E2008" s="1" t="s">
        <v>12</v>
      </c>
      <c r="F2008" s="2" t="s">
        <v>0</v>
      </c>
      <c r="G2008" s="3">
        <v>17.760000000000002</v>
      </c>
    </row>
    <row r="2009" spans="1:7" ht="114.75" x14ac:dyDescent="0.25">
      <c r="A2009" s="2" t="str">
        <f>"00088150"</f>
        <v>00088150</v>
      </c>
      <c r="B2009" s="2" t="str">
        <f t="shared" si="73"/>
        <v xml:space="preserve">  </v>
      </c>
      <c r="C2009" s="1" t="s">
        <v>1673</v>
      </c>
      <c r="D2009" s="1" t="s">
        <v>0</v>
      </c>
      <c r="E2009" s="1" t="s">
        <v>12</v>
      </c>
      <c r="F2009" s="2" t="s">
        <v>0</v>
      </c>
      <c r="G2009" s="3">
        <v>17.760000000000002</v>
      </c>
    </row>
    <row r="2010" spans="1:7" ht="100.5" x14ac:dyDescent="0.25">
      <c r="A2010" s="2" t="str">
        <f>"00088152"</f>
        <v>00088152</v>
      </c>
      <c r="B2010" s="2" t="str">
        <f t="shared" si="73"/>
        <v xml:space="preserve">  </v>
      </c>
      <c r="C2010" s="1" t="s">
        <v>1674</v>
      </c>
      <c r="D2010" s="1" t="s">
        <v>0</v>
      </c>
      <c r="E2010" s="1" t="s">
        <v>12</v>
      </c>
      <c r="F2010" s="2" t="s">
        <v>0</v>
      </c>
      <c r="G2010" s="3">
        <v>27.64</v>
      </c>
    </row>
    <row r="2011" spans="1:7" ht="72" x14ac:dyDescent="0.25">
      <c r="A2011" s="2" t="str">
        <f>"00088153"</f>
        <v>00088153</v>
      </c>
      <c r="B2011" s="2" t="str">
        <f t="shared" si="73"/>
        <v xml:space="preserve">  </v>
      </c>
      <c r="C2011" s="1" t="s">
        <v>1675</v>
      </c>
      <c r="D2011" s="1" t="s">
        <v>0</v>
      </c>
      <c r="E2011" s="1" t="s">
        <v>12</v>
      </c>
      <c r="F2011" s="2" t="s">
        <v>0</v>
      </c>
      <c r="G2011" s="3">
        <v>24.03</v>
      </c>
    </row>
    <row r="2012" spans="1:7" ht="72" x14ac:dyDescent="0.25">
      <c r="A2012" s="2" t="str">
        <f>"00088155"</f>
        <v>00088155</v>
      </c>
      <c r="B2012" s="2" t="str">
        <f t="shared" si="73"/>
        <v xml:space="preserve">  </v>
      </c>
      <c r="C2012" s="1" t="s">
        <v>1676</v>
      </c>
      <c r="D2012" s="1" t="s">
        <v>0</v>
      </c>
      <c r="E2012" s="1" t="s">
        <v>12</v>
      </c>
      <c r="F2012" s="2" t="s">
        <v>0</v>
      </c>
      <c r="G2012" s="3">
        <v>14.65</v>
      </c>
    </row>
    <row r="2013" spans="1:7" ht="57.75" x14ac:dyDescent="0.25">
      <c r="A2013" s="2" t="str">
        <f>"00088164"</f>
        <v>00088164</v>
      </c>
      <c r="B2013" s="2" t="str">
        <f t="shared" si="73"/>
        <v xml:space="preserve">  </v>
      </c>
      <c r="C2013" s="1" t="s">
        <v>1677</v>
      </c>
      <c r="D2013" s="1" t="s">
        <v>0</v>
      </c>
      <c r="E2013" s="1" t="s">
        <v>12</v>
      </c>
      <c r="F2013" s="2" t="s">
        <v>0</v>
      </c>
      <c r="G2013" s="3">
        <v>17.760000000000002</v>
      </c>
    </row>
    <row r="2014" spans="1:7" ht="72" x14ac:dyDescent="0.25">
      <c r="A2014" s="2" t="str">
        <f>"00088165"</f>
        <v>00088165</v>
      </c>
      <c r="B2014" s="2" t="str">
        <f t="shared" si="73"/>
        <v xml:space="preserve">  </v>
      </c>
      <c r="C2014" s="1" t="s">
        <v>1678</v>
      </c>
      <c r="D2014" s="1" t="s">
        <v>0</v>
      </c>
      <c r="E2014" s="1" t="s">
        <v>12</v>
      </c>
      <c r="F2014" s="2" t="s">
        <v>0</v>
      </c>
      <c r="G2014" s="3">
        <v>42.22</v>
      </c>
    </row>
    <row r="2015" spans="1:7" ht="86.25" x14ac:dyDescent="0.25">
      <c r="A2015" s="2" t="str">
        <f>"00088166"</f>
        <v>00088166</v>
      </c>
      <c r="B2015" s="2" t="str">
        <f t="shared" si="73"/>
        <v xml:space="preserve">  </v>
      </c>
      <c r="C2015" s="1" t="s">
        <v>1679</v>
      </c>
      <c r="D2015" s="1" t="s">
        <v>0</v>
      </c>
      <c r="E2015" s="1" t="s">
        <v>12</v>
      </c>
      <c r="F2015" s="2" t="s">
        <v>0</v>
      </c>
      <c r="G2015" s="3">
        <v>17.760000000000002</v>
      </c>
    </row>
    <row r="2016" spans="1:7" ht="100.5" x14ac:dyDescent="0.25">
      <c r="A2016" s="2" t="str">
        <f>"00088167"</f>
        <v>00088167</v>
      </c>
      <c r="B2016" s="2" t="str">
        <f t="shared" si="73"/>
        <v xml:space="preserve">  </v>
      </c>
      <c r="C2016" s="1" t="s">
        <v>1680</v>
      </c>
      <c r="D2016" s="1" t="s">
        <v>0</v>
      </c>
      <c r="E2016" s="1" t="s">
        <v>12</v>
      </c>
      <c r="F2016" s="2" t="s">
        <v>0</v>
      </c>
      <c r="G2016" s="3">
        <v>17.760000000000002</v>
      </c>
    </row>
    <row r="2017" spans="1:7" ht="100.5" x14ac:dyDescent="0.25">
      <c r="A2017" s="2" t="str">
        <f>"00088174"</f>
        <v>00088174</v>
      </c>
      <c r="B2017" s="2" t="str">
        <f t="shared" si="73"/>
        <v xml:space="preserve">  </v>
      </c>
      <c r="C2017" s="1" t="s">
        <v>1681</v>
      </c>
      <c r="D2017" s="1" t="s">
        <v>0</v>
      </c>
      <c r="E2017" s="1" t="s">
        <v>12</v>
      </c>
      <c r="F2017" s="2" t="s">
        <v>0</v>
      </c>
      <c r="G2017" s="3">
        <v>25.37</v>
      </c>
    </row>
    <row r="2018" spans="1:7" ht="114.75" x14ac:dyDescent="0.25">
      <c r="A2018" s="2" t="str">
        <f>"00088175"</f>
        <v>00088175</v>
      </c>
      <c r="B2018" s="2" t="str">
        <f t="shared" si="73"/>
        <v xml:space="preserve">  </v>
      </c>
      <c r="C2018" s="1" t="s">
        <v>1682</v>
      </c>
      <c r="D2018" s="1" t="s">
        <v>0</v>
      </c>
      <c r="E2018" s="1" t="s">
        <v>12</v>
      </c>
      <c r="F2018" s="2" t="s">
        <v>0</v>
      </c>
      <c r="G2018" s="3">
        <v>26.61</v>
      </c>
    </row>
    <row r="2019" spans="1:7" ht="114.75" x14ac:dyDescent="0.25">
      <c r="A2019" s="2" t="str">
        <f>"00088177"</f>
        <v>00088177</v>
      </c>
      <c r="B2019" s="2" t="str">
        <f t="shared" si="73"/>
        <v xml:space="preserve">  </v>
      </c>
      <c r="C2019" s="1" t="s">
        <v>1683</v>
      </c>
      <c r="D2019" s="1" t="s">
        <v>0</v>
      </c>
      <c r="E2019" s="1" t="s">
        <v>12</v>
      </c>
      <c r="F2019" s="2" t="s">
        <v>0</v>
      </c>
      <c r="G2019" s="3">
        <v>32.51</v>
      </c>
    </row>
    <row r="2020" spans="1:7" ht="57.75" x14ac:dyDescent="0.25">
      <c r="A2020" s="2" t="str">
        <f>"00088230"</f>
        <v>00088230</v>
      </c>
      <c r="B2020" s="2" t="str">
        <f t="shared" si="73"/>
        <v xml:space="preserve">  </v>
      </c>
      <c r="C2020" s="1" t="s">
        <v>1684</v>
      </c>
      <c r="D2020" s="1" t="s">
        <v>0</v>
      </c>
      <c r="E2020" s="1" t="s">
        <v>12</v>
      </c>
      <c r="F2020" s="2" t="s">
        <v>0</v>
      </c>
      <c r="G2020" s="3">
        <v>116.49</v>
      </c>
    </row>
    <row r="2021" spans="1:7" ht="72" x14ac:dyDescent="0.25">
      <c r="A2021" s="2" t="str">
        <f>"00088233"</f>
        <v>00088233</v>
      </c>
      <c r="B2021" s="2" t="str">
        <f t="shared" si="73"/>
        <v xml:space="preserve">  </v>
      </c>
      <c r="C2021" s="1" t="s">
        <v>1685</v>
      </c>
      <c r="D2021" s="1" t="s">
        <v>0</v>
      </c>
      <c r="E2021" s="1" t="s">
        <v>12</v>
      </c>
      <c r="F2021" s="2" t="s">
        <v>0</v>
      </c>
      <c r="G2021" s="3">
        <v>140.72999999999999</v>
      </c>
    </row>
    <row r="2022" spans="1:7" ht="29.25" x14ac:dyDescent="0.25">
      <c r="A2022" s="2" t="str">
        <f>"00088235"</f>
        <v>00088235</v>
      </c>
      <c r="B2022" s="2" t="str">
        <f t="shared" si="73"/>
        <v xml:space="preserve">  </v>
      </c>
      <c r="C2022" s="1" t="s">
        <v>1686</v>
      </c>
      <c r="D2022" s="1" t="s">
        <v>0</v>
      </c>
      <c r="E2022" s="1" t="s">
        <v>12</v>
      </c>
      <c r="F2022" s="2" t="s">
        <v>0</v>
      </c>
      <c r="G2022" s="3">
        <v>150.30000000000001</v>
      </c>
    </row>
    <row r="2023" spans="1:7" ht="43.5" x14ac:dyDescent="0.25">
      <c r="A2023" s="2" t="str">
        <f>"00088237"</f>
        <v>00088237</v>
      </c>
      <c r="B2023" s="2" t="str">
        <f t="shared" si="73"/>
        <v xml:space="preserve">  </v>
      </c>
      <c r="C2023" s="1" t="s">
        <v>1687</v>
      </c>
      <c r="D2023" s="1" t="s">
        <v>0</v>
      </c>
      <c r="E2023" s="1" t="s">
        <v>12</v>
      </c>
      <c r="F2023" s="2" t="s">
        <v>0</v>
      </c>
      <c r="G2023" s="3">
        <v>143.75</v>
      </c>
    </row>
    <row r="2024" spans="1:7" ht="29.25" x14ac:dyDescent="0.25">
      <c r="A2024" s="2" t="str">
        <f>"00088239"</f>
        <v>00088239</v>
      </c>
      <c r="B2024" s="2" t="str">
        <f t="shared" si="73"/>
        <v xml:space="preserve">  </v>
      </c>
      <c r="C2024" s="1" t="s">
        <v>1688</v>
      </c>
      <c r="D2024" s="1" t="s">
        <v>0</v>
      </c>
      <c r="E2024" s="1" t="s">
        <v>12</v>
      </c>
      <c r="F2024" s="2" t="s">
        <v>0</v>
      </c>
      <c r="G2024" s="3">
        <v>147.52000000000001</v>
      </c>
    </row>
    <row r="2025" spans="1:7" ht="86.25" x14ac:dyDescent="0.25">
      <c r="A2025" s="2" t="str">
        <f>"00088240"</f>
        <v>00088240</v>
      </c>
      <c r="B2025" s="2" t="str">
        <f t="shared" si="73"/>
        <v xml:space="preserve">  </v>
      </c>
      <c r="C2025" s="1" t="s">
        <v>1689</v>
      </c>
      <c r="D2025" s="1" t="s">
        <v>0</v>
      </c>
      <c r="E2025" s="1" t="s">
        <v>12</v>
      </c>
      <c r="F2025" s="2" t="s">
        <v>0</v>
      </c>
      <c r="G2025" s="3">
        <v>13.07</v>
      </c>
    </row>
    <row r="2026" spans="1:7" ht="86.25" x14ac:dyDescent="0.25">
      <c r="A2026" s="2" t="str">
        <f>"00088241"</f>
        <v>00088241</v>
      </c>
      <c r="B2026" s="2" t="str">
        <f t="shared" si="73"/>
        <v xml:space="preserve">  </v>
      </c>
      <c r="C2026" s="1" t="s">
        <v>1690</v>
      </c>
      <c r="D2026" s="1" t="s">
        <v>0</v>
      </c>
      <c r="E2026" s="1" t="s">
        <v>12</v>
      </c>
      <c r="F2026" s="2" t="s">
        <v>0</v>
      </c>
      <c r="G2026" s="3">
        <v>12.09</v>
      </c>
    </row>
    <row r="2027" spans="1:7" ht="100.5" x14ac:dyDescent="0.25">
      <c r="A2027" s="2" t="str">
        <f>"00088245"</f>
        <v>00088245</v>
      </c>
      <c r="B2027" s="2" t="str">
        <f t="shared" si="73"/>
        <v xml:space="preserve">  </v>
      </c>
      <c r="C2027" s="1" t="s">
        <v>1691</v>
      </c>
      <c r="D2027" s="1" t="s">
        <v>0</v>
      </c>
      <c r="E2027" s="1" t="s">
        <v>12</v>
      </c>
      <c r="F2027" s="2" t="s">
        <v>0</v>
      </c>
      <c r="G2027" s="3">
        <v>173.17</v>
      </c>
    </row>
    <row r="2028" spans="1:7" ht="100.5" x14ac:dyDescent="0.25">
      <c r="A2028" s="2" t="str">
        <f>"00088248"</f>
        <v>00088248</v>
      </c>
      <c r="B2028" s="2" t="str">
        <f t="shared" si="73"/>
        <v xml:space="preserve">  </v>
      </c>
      <c r="C2028" s="1" t="s">
        <v>1692</v>
      </c>
      <c r="D2028" s="1" t="s">
        <v>0</v>
      </c>
      <c r="E2028" s="1" t="s">
        <v>12</v>
      </c>
      <c r="F2028" s="2" t="s">
        <v>0</v>
      </c>
      <c r="G2028" s="3">
        <v>173.17</v>
      </c>
    </row>
    <row r="2029" spans="1:7" ht="100.5" x14ac:dyDescent="0.25">
      <c r="A2029" s="2" t="str">
        <f>"00088249"</f>
        <v>00088249</v>
      </c>
      <c r="B2029" s="2" t="str">
        <f t="shared" si="73"/>
        <v xml:space="preserve">  </v>
      </c>
      <c r="C2029" s="1" t="s">
        <v>1693</v>
      </c>
      <c r="D2029" s="1" t="s">
        <v>0</v>
      </c>
      <c r="E2029" s="1" t="s">
        <v>12</v>
      </c>
      <c r="F2029" s="2" t="s">
        <v>0</v>
      </c>
      <c r="G2029" s="3">
        <v>173.17</v>
      </c>
    </row>
    <row r="2030" spans="1:7" ht="57.75" x14ac:dyDescent="0.25">
      <c r="A2030" s="2" t="str">
        <f>"00088261"</f>
        <v>00088261</v>
      </c>
      <c r="B2030" s="2" t="str">
        <f t="shared" si="73"/>
        <v xml:space="preserve">  </v>
      </c>
      <c r="C2030" s="1" t="s">
        <v>1694</v>
      </c>
      <c r="D2030" s="1" t="s">
        <v>0</v>
      </c>
      <c r="E2030" s="1" t="s">
        <v>12</v>
      </c>
      <c r="F2030" s="2" t="s">
        <v>0</v>
      </c>
      <c r="G2030" s="3">
        <v>264.33999999999997</v>
      </c>
    </row>
    <row r="2031" spans="1:7" ht="43.5" x14ac:dyDescent="0.25">
      <c r="A2031" s="2" t="str">
        <f>"00088262"</f>
        <v>00088262</v>
      </c>
      <c r="B2031" s="2" t="str">
        <f t="shared" si="73"/>
        <v xml:space="preserve">  </v>
      </c>
      <c r="C2031" s="1" t="s">
        <v>1695</v>
      </c>
      <c r="D2031" s="1" t="s">
        <v>0</v>
      </c>
      <c r="E2031" s="1" t="s">
        <v>12</v>
      </c>
      <c r="F2031" s="2" t="s">
        <v>0</v>
      </c>
      <c r="G2031" s="3">
        <v>125.49</v>
      </c>
    </row>
    <row r="2032" spans="1:7" ht="57.75" x14ac:dyDescent="0.25">
      <c r="A2032" s="2" t="str">
        <f>"00088263"</f>
        <v>00088263</v>
      </c>
      <c r="B2032" s="2" t="str">
        <f t="shared" si="73"/>
        <v xml:space="preserve">  </v>
      </c>
      <c r="C2032" s="1" t="s">
        <v>1696</v>
      </c>
      <c r="D2032" s="1" t="s">
        <v>0</v>
      </c>
      <c r="E2032" s="1" t="s">
        <v>12</v>
      </c>
      <c r="F2032" s="2" t="s">
        <v>0</v>
      </c>
      <c r="G2032" s="3">
        <v>150.29</v>
      </c>
    </row>
    <row r="2033" spans="1:7" ht="72" x14ac:dyDescent="0.25">
      <c r="A2033" s="2" t="str">
        <f>"00088264"</f>
        <v>00088264</v>
      </c>
      <c r="B2033" s="2" t="str">
        <f t="shared" si="73"/>
        <v xml:space="preserve">  </v>
      </c>
      <c r="C2033" s="1" t="s">
        <v>1697</v>
      </c>
      <c r="D2033" s="1" t="s">
        <v>0</v>
      </c>
      <c r="E2033" s="1" t="s">
        <v>12</v>
      </c>
      <c r="F2033" s="2" t="s">
        <v>0</v>
      </c>
      <c r="G2033" s="3">
        <v>144.61000000000001</v>
      </c>
    </row>
    <row r="2034" spans="1:7" ht="43.5" x14ac:dyDescent="0.25">
      <c r="A2034" s="2" t="str">
        <f>"00088267"</f>
        <v>00088267</v>
      </c>
      <c r="B2034" s="2" t="str">
        <f t="shared" si="73"/>
        <v xml:space="preserve">  </v>
      </c>
      <c r="C2034" s="1" t="s">
        <v>1698</v>
      </c>
      <c r="D2034" s="1" t="s">
        <v>0</v>
      </c>
      <c r="E2034" s="1" t="s">
        <v>12</v>
      </c>
      <c r="F2034" s="2" t="s">
        <v>0</v>
      </c>
      <c r="G2034" s="3">
        <v>188.57</v>
      </c>
    </row>
    <row r="2035" spans="1:7" ht="72" x14ac:dyDescent="0.25">
      <c r="A2035" s="2" t="str">
        <f>"00088269"</f>
        <v>00088269</v>
      </c>
      <c r="B2035" s="2" t="str">
        <f t="shared" si="73"/>
        <v xml:space="preserve">  </v>
      </c>
      <c r="C2035" s="1" t="s">
        <v>1699</v>
      </c>
      <c r="D2035" s="1" t="s">
        <v>0</v>
      </c>
      <c r="E2035" s="1" t="s">
        <v>12</v>
      </c>
      <c r="F2035" s="2" t="s">
        <v>0</v>
      </c>
      <c r="G2035" s="3">
        <v>173.66</v>
      </c>
    </row>
    <row r="2036" spans="1:7" ht="43.5" x14ac:dyDescent="0.25">
      <c r="A2036" s="2" t="str">
        <f>"00088271"</f>
        <v>00088271</v>
      </c>
      <c r="B2036" s="2" t="str">
        <f t="shared" si="73"/>
        <v xml:space="preserve">  </v>
      </c>
      <c r="C2036" s="1" t="s">
        <v>1700</v>
      </c>
      <c r="D2036" s="1" t="s">
        <v>0</v>
      </c>
      <c r="E2036" s="1" t="s">
        <v>12</v>
      </c>
      <c r="F2036" s="2" t="s">
        <v>0</v>
      </c>
      <c r="G2036" s="3">
        <v>21.42</v>
      </c>
    </row>
    <row r="2037" spans="1:7" ht="72" x14ac:dyDescent="0.25">
      <c r="A2037" s="2" t="str">
        <f>"00088272"</f>
        <v>00088272</v>
      </c>
      <c r="B2037" s="2" t="str">
        <f t="shared" si="73"/>
        <v xml:space="preserve">  </v>
      </c>
      <c r="C2037" s="1" t="s">
        <v>1701</v>
      </c>
      <c r="D2037" s="1" t="s">
        <v>0</v>
      </c>
      <c r="E2037" s="1" t="s">
        <v>12</v>
      </c>
      <c r="F2037" s="2" t="s">
        <v>0</v>
      </c>
      <c r="G2037" s="3">
        <v>40.700000000000003</v>
      </c>
    </row>
    <row r="2038" spans="1:7" ht="72" x14ac:dyDescent="0.25">
      <c r="A2038" s="2" t="str">
        <f>"00088273"</f>
        <v>00088273</v>
      </c>
      <c r="B2038" s="2" t="str">
        <f t="shared" si="73"/>
        <v xml:space="preserve">  </v>
      </c>
      <c r="C2038" s="1" t="s">
        <v>1702</v>
      </c>
      <c r="D2038" s="1" t="s">
        <v>0</v>
      </c>
      <c r="E2038" s="1" t="s">
        <v>12</v>
      </c>
      <c r="F2038" s="2" t="s">
        <v>0</v>
      </c>
      <c r="G2038" s="3">
        <v>34.81</v>
      </c>
    </row>
    <row r="2039" spans="1:7" ht="72" x14ac:dyDescent="0.25">
      <c r="A2039" s="2" t="str">
        <f>"00088274"</f>
        <v>00088274</v>
      </c>
      <c r="B2039" s="2" t="str">
        <f t="shared" si="73"/>
        <v xml:space="preserve">  </v>
      </c>
      <c r="C2039" s="1" t="s">
        <v>1703</v>
      </c>
      <c r="D2039" s="1" t="s">
        <v>0</v>
      </c>
      <c r="E2039" s="1" t="s">
        <v>12</v>
      </c>
      <c r="F2039" s="2" t="s">
        <v>0</v>
      </c>
      <c r="G2039" s="3">
        <v>42.38</v>
      </c>
    </row>
    <row r="2040" spans="1:7" ht="72" x14ac:dyDescent="0.25">
      <c r="A2040" s="2" t="str">
        <f>"00088275"</f>
        <v>00088275</v>
      </c>
      <c r="B2040" s="2" t="str">
        <f t="shared" si="73"/>
        <v xml:space="preserve">  </v>
      </c>
      <c r="C2040" s="1" t="s">
        <v>1704</v>
      </c>
      <c r="D2040" s="1" t="s">
        <v>0</v>
      </c>
      <c r="E2040" s="1" t="s">
        <v>12</v>
      </c>
      <c r="F2040" s="2" t="s">
        <v>0</v>
      </c>
      <c r="G2040" s="3">
        <v>51.19</v>
      </c>
    </row>
    <row r="2041" spans="1:7" x14ac:dyDescent="0.25">
      <c r="A2041" s="2" t="str">
        <f>"00088280"</f>
        <v>00088280</v>
      </c>
      <c r="B2041" s="2" t="str">
        <f t="shared" si="73"/>
        <v xml:space="preserve">  </v>
      </c>
      <c r="C2041" s="1" t="s">
        <v>1705</v>
      </c>
      <c r="D2041" s="1" t="s">
        <v>0</v>
      </c>
      <c r="E2041" s="1" t="s">
        <v>12</v>
      </c>
      <c r="F2041" s="2" t="s">
        <v>0</v>
      </c>
      <c r="G2041" s="3">
        <v>33.47</v>
      </c>
    </row>
    <row r="2042" spans="1:7" ht="57.75" x14ac:dyDescent="0.25">
      <c r="A2042" s="2" t="str">
        <f>"00088283"</f>
        <v>00088283</v>
      </c>
      <c r="B2042" s="2" t="str">
        <f t="shared" si="73"/>
        <v xml:space="preserve">  </v>
      </c>
      <c r="C2042" s="1" t="s">
        <v>1706</v>
      </c>
      <c r="D2042" s="1" t="s">
        <v>0</v>
      </c>
      <c r="E2042" s="1" t="s">
        <v>12</v>
      </c>
      <c r="F2042" s="2" t="s">
        <v>0</v>
      </c>
      <c r="G2042" s="3">
        <v>68.599999999999994</v>
      </c>
    </row>
    <row r="2043" spans="1:7" ht="29.25" x14ac:dyDescent="0.25">
      <c r="A2043" s="2" t="str">
        <f>"00088285"</f>
        <v>00088285</v>
      </c>
      <c r="B2043" s="2" t="str">
        <f t="shared" si="73"/>
        <v xml:space="preserve">  </v>
      </c>
      <c r="C2043" s="1" t="s">
        <v>1707</v>
      </c>
      <c r="D2043" s="1" t="s">
        <v>0</v>
      </c>
      <c r="E2043" s="1" t="s">
        <v>12</v>
      </c>
      <c r="F2043" s="2" t="s">
        <v>0</v>
      </c>
      <c r="G2043" s="3">
        <v>26.91</v>
      </c>
    </row>
    <row r="2044" spans="1:7" ht="29.25" x14ac:dyDescent="0.25">
      <c r="A2044" s="2" t="str">
        <f>"00088289"</f>
        <v>00088289</v>
      </c>
      <c r="B2044" s="2" t="str">
        <f t="shared" si="73"/>
        <v xml:space="preserve">  </v>
      </c>
      <c r="C2044" s="1" t="s">
        <v>1708</v>
      </c>
      <c r="D2044" s="1" t="s">
        <v>0</v>
      </c>
      <c r="E2044" s="1" t="s">
        <v>12</v>
      </c>
      <c r="F2044" s="2" t="s">
        <v>0</v>
      </c>
      <c r="G2044" s="3">
        <v>34.43</v>
      </c>
    </row>
    <row r="2045" spans="1:7" x14ac:dyDescent="0.25">
      <c r="A2045" s="2" t="str">
        <f>"00088364"</f>
        <v>00088364</v>
      </c>
      <c r="B2045" s="2" t="str">
        <f t="shared" si="73"/>
        <v xml:space="preserve">  </v>
      </c>
      <c r="C2045" s="1" t="s">
        <v>1709</v>
      </c>
      <c r="D2045" s="1" t="s">
        <v>0</v>
      </c>
      <c r="E2045" s="1" t="s">
        <v>12</v>
      </c>
      <c r="F2045" s="2" t="s">
        <v>0</v>
      </c>
      <c r="G2045" s="3">
        <v>89.66</v>
      </c>
    </row>
    <row r="2046" spans="1:7" ht="72" x14ac:dyDescent="0.25">
      <c r="A2046" s="2" t="str">
        <f>"00088364"</f>
        <v>00088364</v>
      </c>
      <c r="B2046" s="2" t="str">
        <f>"26"</f>
        <v>26</v>
      </c>
      <c r="C2046" s="1" t="s">
        <v>1710</v>
      </c>
      <c r="D2046" s="1" t="s">
        <v>0</v>
      </c>
      <c r="E2046" s="1" t="s">
        <v>12</v>
      </c>
      <c r="F2046" s="2" t="s">
        <v>0</v>
      </c>
      <c r="G2046" s="3">
        <v>22.42</v>
      </c>
    </row>
    <row r="2047" spans="1:7" ht="57.75" x14ac:dyDescent="0.25">
      <c r="A2047" s="2" t="str">
        <f>"00088371"</f>
        <v>00088371</v>
      </c>
      <c r="B2047" s="2" t="str">
        <f t="shared" ref="B2047:B2078" si="74">"  "</f>
        <v xml:space="preserve">  </v>
      </c>
      <c r="C2047" s="1" t="s">
        <v>1711</v>
      </c>
      <c r="D2047" s="1" t="s">
        <v>0</v>
      </c>
      <c r="E2047" s="1" t="s">
        <v>12</v>
      </c>
      <c r="F2047" s="2" t="s">
        <v>0</v>
      </c>
      <c r="G2047" s="3">
        <v>22.23</v>
      </c>
    </row>
    <row r="2048" spans="1:7" ht="43.5" x14ac:dyDescent="0.25">
      <c r="A2048" s="2" t="str">
        <f>"00088372"</f>
        <v>00088372</v>
      </c>
      <c r="B2048" s="2" t="str">
        <f t="shared" si="74"/>
        <v xml:space="preserve">  </v>
      </c>
      <c r="C2048" s="1" t="s">
        <v>1712</v>
      </c>
      <c r="D2048" s="1" t="s">
        <v>0</v>
      </c>
      <c r="E2048" s="1" t="s">
        <v>12</v>
      </c>
      <c r="F2048" s="2" t="s">
        <v>0</v>
      </c>
      <c r="G2048" s="3">
        <v>26.22</v>
      </c>
    </row>
    <row r="2049" spans="1:7" ht="72" x14ac:dyDescent="0.25">
      <c r="A2049" s="2" t="str">
        <f>"00088375"</f>
        <v>00088375</v>
      </c>
      <c r="B2049" s="2" t="str">
        <f t="shared" si="74"/>
        <v xml:space="preserve">  </v>
      </c>
      <c r="C2049" s="1" t="s">
        <v>1713</v>
      </c>
      <c r="D2049" s="1" t="s">
        <v>0</v>
      </c>
      <c r="E2049" s="1" t="s">
        <v>14</v>
      </c>
      <c r="F2049" s="2" t="s">
        <v>0</v>
      </c>
      <c r="G2049" s="17" t="s">
        <v>1769</v>
      </c>
    </row>
    <row r="2050" spans="1:7" ht="29.25" x14ac:dyDescent="0.25">
      <c r="A2050" s="2" t="str">
        <f>"00088720"</f>
        <v>00088720</v>
      </c>
      <c r="B2050" s="2" t="str">
        <f t="shared" si="74"/>
        <v xml:space="preserve">  </v>
      </c>
      <c r="C2050" s="1" t="s">
        <v>1714</v>
      </c>
      <c r="D2050" s="1" t="s">
        <v>0</v>
      </c>
      <c r="E2050" s="1" t="s">
        <v>12</v>
      </c>
      <c r="F2050" s="2" t="s">
        <v>0</v>
      </c>
      <c r="G2050" s="3">
        <v>5.0199999999999996</v>
      </c>
    </row>
    <row r="2051" spans="1:7" ht="43.5" x14ac:dyDescent="0.25">
      <c r="A2051" s="2" t="str">
        <f>"00088738"</f>
        <v>00088738</v>
      </c>
      <c r="B2051" s="2" t="str">
        <f t="shared" si="74"/>
        <v xml:space="preserve">  </v>
      </c>
      <c r="C2051" s="1" t="s">
        <v>1715</v>
      </c>
      <c r="D2051" s="1" t="s">
        <v>0</v>
      </c>
      <c r="E2051" s="1" t="s">
        <v>12</v>
      </c>
      <c r="F2051" s="2" t="s">
        <v>0</v>
      </c>
      <c r="G2051" s="3">
        <v>5.0199999999999996</v>
      </c>
    </row>
    <row r="2052" spans="1:7" ht="57.75" x14ac:dyDescent="0.25">
      <c r="A2052" s="2" t="str">
        <f>"00088740"</f>
        <v>00088740</v>
      </c>
      <c r="B2052" s="2" t="str">
        <f t="shared" si="74"/>
        <v xml:space="preserve">  </v>
      </c>
      <c r="C2052" s="1" t="s">
        <v>1716</v>
      </c>
      <c r="D2052" s="1" t="s">
        <v>0</v>
      </c>
      <c r="E2052" s="1" t="s">
        <v>12</v>
      </c>
      <c r="F2052" s="2" t="s">
        <v>0</v>
      </c>
      <c r="G2052" s="3">
        <v>9.3699999999999992</v>
      </c>
    </row>
    <row r="2053" spans="1:7" ht="57.75" x14ac:dyDescent="0.25">
      <c r="A2053" s="2" t="str">
        <f>"00088741"</f>
        <v>00088741</v>
      </c>
      <c r="B2053" s="2" t="str">
        <f t="shared" si="74"/>
        <v xml:space="preserve">  </v>
      </c>
      <c r="C2053" s="1" t="s">
        <v>1717</v>
      </c>
      <c r="D2053" s="1" t="s">
        <v>0</v>
      </c>
      <c r="E2053" s="1" t="s">
        <v>12</v>
      </c>
      <c r="F2053" s="2" t="s">
        <v>0</v>
      </c>
      <c r="G2053" s="3">
        <v>9.3699999999999992</v>
      </c>
    </row>
    <row r="2054" spans="1:7" ht="86.25" x14ac:dyDescent="0.25">
      <c r="A2054" s="2" t="str">
        <f>"00089050"</f>
        <v>00089050</v>
      </c>
      <c r="B2054" s="2" t="str">
        <f t="shared" si="74"/>
        <v xml:space="preserve">  </v>
      </c>
      <c r="C2054" s="1" t="s">
        <v>1718</v>
      </c>
      <c r="D2054" s="1" t="s">
        <v>0</v>
      </c>
      <c r="E2054" s="1" t="s">
        <v>12</v>
      </c>
      <c r="F2054" s="2" t="s">
        <v>0</v>
      </c>
      <c r="G2054" s="3">
        <v>4.72</v>
      </c>
    </row>
    <row r="2055" spans="1:7" ht="43.5" x14ac:dyDescent="0.25">
      <c r="A2055" s="2" t="str">
        <f>"00089051"</f>
        <v>00089051</v>
      </c>
      <c r="B2055" s="2" t="str">
        <f t="shared" si="74"/>
        <v xml:space="preserve">  </v>
      </c>
      <c r="C2055" s="1" t="s">
        <v>1719</v>
      </c>
      <c r="D2055" s="1" t="s">
        <v>0</v>
      </c>
      <c r="E2055" s="1" t="s">
        <v>12</v>
      </c>
      <c r="F2055" s="2" t="s">
        <v>0</v>
      </c>
      <c r="G2055" s="3">
        <v>5.6</v>
      </c>
    </row>
    <row r="2056" spans="1:7" ht="43.5" x14ac:dyDescent="0.25">
      <c r="A2056" s="2" t="str">
        <f>"00089055"</f>
        <v>00089055</v>
      </c>
      <c r="B2056" s="2" t="str">
        <f t="shared" si="74"/>
        <v xml:space="preserve">  </v>
      </c>
      <c r="C2056" s="1" t="s">
        <v>1720</v>
      </c>
      <c r="D2056" s="1" t="s">
        <v>0</v>
      </c>
      <c r="E2056" s="1" t="s">
        <v>12</v>
      </c>
      <c r="F2056" s="2" t="s">
        <v>0</v>
      </c>
      <c r="G2056" s="3">
        <v>4.2699999999999996</v>
      </c>
    </row>
    <row r="2057" spans="1:7" ht="86.25" x14ac:dyDescent="0.25">
      <c r="A2057" s="2" t="str">
        <f>"00089060"</f>
        <v>00089060</v>
      </c>
      <c r="B2057" s="2" t="str">
        <f t="shared" si="74"/>
        <v xml:space="preserve">  </v>
      </c>
      <c r="C2057" s="1" t="s">
        <v>1721</v>
      </c>
      <c r="D2057" s="1" t="s">
        <v>0</v>
      </c>
      <c r="E2057" s="1" t="s">
        <v>12</v>
      </c>
      <c r="F2057" s="2" t="s">
        <v>0</v>
      </c>
      <c r="G2057" s="3">
        <v>7.33</v>
      </c>
    </row>
    <row r="2058" spans="1:7" ht="43.5" x14ac:dyDescent="0.25">
      <c r="A2058" s="2" t="str">
        <f>"00089125"</f>
        <v>00089125</v>
      </c>
      <c r="B2058" s="2" t="str">
        <f t="shared" si="74"/>
        <v xml:space="preserve">  </v>
      </c>
      <c r="C2058" s="1" t="s">
        <v>1722</v>
      </c>
      <c r="D2058" s="1" t="s">
        <v>0</v>
      </c>
      <c r="E2058" s="1" t="s">
        <v>12</v>
      </c>
      <c r="F2058" s="2" t="s">
        <v>0</v>
      </c>
      <c r="G2058" s="3">
        <v>5.88</v>
      </c>
    </row>
    <row r="2059" spans="1:7" ht="29.25" x14ac:dyDescent="0.25">
      <c r="A2059" s="2" t="str">
        <f>"00089160"</f>
        <v>00089160</v>
      </c>
      <c r="B2059" s="2" t="str">
        <f t="shared" si="74"/>
        <v xml:space="preserve">  </v>
      </c>
      <c r="C2059" s="1" t="s">
        <v>1723</v>
      </c>
      <c r="D2059" s="1" t="s">
        <v>0</v>
      </c>
      <c r="E2059" s="1" t="s">
        <v>12</v>
      </c>
      <c r="F2059" s="2" t="s">
        <v>0</v>
      </c>
      <c r="G2059" s="3">
        <v>4.8499999999999996</v>
      </c>
    </row>
    <row r="2060" spans="1:7" ht="29.25" x14ac:dyDescent="0.25">
      <c r="A2060" s="2" t="str">
        <f>"00089190"</f>
        <v>00089190</v>
      </c>
      <c r="B2060" s="2" t="str">
        <f t="shared" si="74"/>
        <v xml:space="preserve">  </v>
      </c>
      <c r="C2060" s="1" t="s">
        <v>1724</v>
      </c>
      <c r="D2060" s="1" t="s">
        <v>0</v>
      </c>
      <c r="E2060" s="1" t="s">
        <v>12</v>
      </c>
      <c r="F2060" s="2" t="s">
        <v>0</v>
      </c>
      <c r="G2060" s="3">
        <v>5.79</v>
      </c>
    </row>
    <row r="2061" spans="1:7" ht="43.5" x14ac:dyDescent="0.25">
      <c r="A2061" s="2" t="str">
        <f>"00089250"</f>
        <v>00089250</v>
      </c>
      <c r="B2061" s="2" t="str">
        <f t="shared" si="74"/>
        <v xml:space="preserve">  </v>
      </c>
      <c r="C2061" s="1" t="s">
        <v>1725</v>
      </c>
      <c r="D2061" s="1" t="s">
        <v>0</v>
      </c>
      <c r="E2061" s="1" t="s">
        <v>14</v>
      </c>
      <c r="F2061" s="2" t="s">
        <v>0</v>
      </c>
      <c r="G2061" s="17" t="s">
        <v>1769</v>
      </c>
    </row>
    <row r="2062" spans="1:7" ht="72" x14ac:dyDescent="0.25">
      <c r="A2062" s="2" t="str">
        <f>"00089251"</f>
        <v>00089251</v>
      </c>
      <c r="B2062" s="2" t="str">
        <f t="shared" si="74"/>
        <v xml:space="preserve">  </v>
      </c>
      <c r="C2062" s="1" t="s">
        <v>1726</v>
      </c>
      <c r="D2062" s="1" t="s">
        <v>0</v>
      </c>
      <c r="E2062" s="1" t="s">
        <v>14</v>
      </c>
      <c r="F2062" s="2" t="s">
        <v>0</v>
      </c>
      <c r="G2062" s="17" t="s">
        <v>1769</v>
      </c>
    </row>
    <row r="2063" spans="1:7" ht="72" x14ac:dyDescent="0.25">
      <c r="A2063" s="2" t="str">
        <f>"00089253"</f>
        <v>00089253</v>
      </c>
      <c r="B2063" s="2" t="str">
        <f t="shared" si="74"/>
        <v xml:space="preserve">  </v>
      </c>
      <c r="C2063" s="1" t="s">
        <v>1727</v>
      </c>
      <c r="D2063" s="1" t="s">
        <v>0</v>
      </c>
      <c r="E2063" s="1" t="s">
        <v>14</v>
      </c>
      <c r="F2063" s="2" t="s">
        <v>0</v>
      </c>
      <c r="G2063" s="17" t="s">
        <v>1769</v>
      </c>
    </row>
    <row r="2064" spans="1:7" ht="43.5" x14ac:dyDescent="0.25">
      <c r="A2064" s="2" t="str">
        <f>"00089254"</f>
        <v>00089254</v>
      </c>
      <c r="B2064" s="2" t="str">
        <f t="shared" si="74"/>
        <v xml:space="preserve">  </v>
      </c>
      <c r="C2064" s="1" t="s">
        <v>1728</v>
      </c>
      <c r="D2064" s="1" t="s">
        <v>0</v>
      </c>
      <c r="E2064" s="1" t="s">
        <v>14</v>
      </c>
      <c r="F2064" s="2" t="s">
        <v>0</v>
      </c>
      <c r="G2064" s="17" t="s">
        <v>1769</v>
      </c>
    </row>
    <row r="2065" spans="1:7" ht="57.75" x14ac:dyDescent="0.25">
      <c r="A2065" s="2" t="str">
        <f>"00089255"</f>
        <v>00089255</v>
      </c>
      <c r="B2065" s="2" t="str">
        <f t="shared" si="74"/>
        <v xml:space="preserve">  </v>
      </c>
      <c r="C2065" s="1" t="s">
        <v>1729</v>
      </c>
      <c r="D2065" s="1" t="s">
        <v>0</v>
      </c>
      <c r="E2065" s="1" t="s">
        <v>14</v>
      </c>
      <c r="F2065" s="2" t="s">
        <v>0</v>
      </c>
      <c r="G2065" s="17" t="s">
        <v>1769</v>
      </c>
    </row>
    <row r="2066" spans="1:7" ht="43.5" x14ac:dyDescent="0.25">
      <c r="A2066" s="2" t="str">
        <f>"00089257"</f>
        <v>00089257</v>
      </c>
      <c r="B2066" s="2" t="str">
        <f t="shared" si="74"/>
        <v xml:space="preserve">  </v>
      </c>
      <c r="C2066" s="1" t="s">
        <v>1730</v>
      </c>
      <c r="D2066" s="1" t="s">
        <v>0</v>
      </c>
      <c r="E2066" s="1" t="s">
        <v>14</v>
      </c>
      <c r="F2066" s="2" t="s">
        <v>0</v>
      </c>
      <c r="G2066" s="17" t="s">
        <v>1769</v>
      </c>
    </row>
    <row r="2067" spans="1:7" ht="29.25" x14ac:dyDescent="0.25">
      <c r="A2067" s="2" t="str">
        <f>"00089258"</f>
        <v>00089258</v>
      </c>
      <c r="B2067" s="2" t="str">
        <f t="shared" si="74"/>
        <v xml:space="preserve">  </v>
      </c>
      <c r="C2067" s="1" t="s">
        <v>1731</v>
      </c>
      <c r="D2067" s="1" t="s">
        <v>0</v>
      </c>
      <c r="E2067" s="1" t="s">
        <v>14</v>
      </c>
      <c r="F2067" s="2" t="s">
        <v>0</v>
      </c>
      <c r="G2067" s="17" t="s">
        <v>1769</v>
      </c>
    </row>
    <row r="2068" spans="1:7" ht="43.5" x14ac:dyDescent="0.25">
      <c r="A2068" s="2" t="str">
        <f>"00089259"</f>
        <v>00089259</v>
      </c>
      <c r="B2068" s="2" t="str">
        <f t="shared" si="74"/>
        <v xml:space="preserve">  </v>
      </c>
      <c r="C2068" s="1" t="s">
        <v>1732</v>
      </c>
      <c r="D2068" s="1" t="s">
        <v>0</v>
      </c>
      <c r="E2068" s="1" t="s">
        <v>14</v>
      </c>
      <c r="F2068" s="2" t="s">
        <v>0</v>
      </c>
      <c r="G2068" s="17" t="s">
        <v>1769</v>
      </c>
    </row>
    <row r="2069" spans="1:7" ht="72" x14ac:dyDescent="0.25">
      <c r="A2069" s="2" t="str">
        <f>"00089260"</f>
        <v>00089260</v>
      </c>
      <c r="B2069" s="2" t="str">
        <f t="shared" si="74"/>
        <v xml:space="preserve">  </v>
      </c>
      <c r="C2069" s="1" t="s">
        <v>1733</v>
      </c>
      <c r="D2069" s="1" t="s">
        <v>0</v>
      </c>
      <c r="E2069" s="1" t="s">
        <v>14</v>
      </c>
      <c r="F2069" s="2" t="s">
        <v>0</v>
      </c>
      <c r="G2069" s="17" t="s">
        <v>1769</v>
      </c>
    </row>
    <row r="2070" spans="1:7" ht="72" x14ac:dyDescent="0.25">
      <c r="A2070" s="2" t="str">
        <f>"00089261"</f>
        <v>00089261</v>
      </c>
      <c r="B2070" s="2" t="str">
        <f t="shared" si="74"/>
        <v xml:space="preserve">  </v>
      </c>
      <c r="C2070" s="1" t="s">
        <v>1734</v>
      </c>
      <c r="D2070" s="1" t="s">
        <v>0</v>
      </c>
      <c r="E2070" s="1" t="s">
        <v>14</v>
      </c>
      <c r="F2070" s="2" t="s">
        <v>0</v>
      </c>
      <c r="G2070" s="17" t="s">
        <v>1769</v>
      </c>
    </row>
    <row r="2071" spans="1:7" ht="72" x14ac:dyDescent="0.25">
      <c r="A2071" s="2" t="str">
        <f>"00089264"</f>
        <v>00089264</v>
      </c>
      <c r="B2071" s="2" t="str">
        <f t="shared" si="74"/>
        <v xml:space="preserve">  </v>
      </c>
      <c r="C2071" s="1" t="s">
        <v>1735</v>
      </c>
      <c r="D2071" s="1" t="s">
        <v>0</v>
      </c>
      <c r="E2071" s="1" t="s">
        <v>14</v>
      </c>
      <c r="F2071" s="2" t="s">
        <v>0</v>
      </c>
      <c r="G2071" s="17" t="s">
        <v>1769</v>
      </c>
    </row>
    <row r="2072" spans="1:7" x14ac:dyDescent="0.25">
      <c r="A2072" s="2" t="str">
        <f>"00089268"</f>
        <v>00089268</v>
      </c>
      <c r="B2072" s="2" t="str">
        <f t="shared" si="74"/>
        <v xml:space="preserve">  </v>
      </c>
      <c r="C2072" s="1" t="s">
        <v>1736</v>
      </c>
      <c r="D2072" s="1" t="s">
        <v>0</v>
      </c>
      <c r="E2072" s="1" t="s">
        <v>14</v>
      </c>
      <c r="F2072" s="2" t="s">
        <v>0</v>
      </c>
      <c r="G2072" s="17" t="s">
        <v>1769</v>
      </c>
    </row>
    <row r="2073" spans="1:7" ht="43.5" x14ac:dyDescent="0.25">
      <c r="A2073" s="2" t="str">
        <f>"00089272"</f>
        <v>00089272</v>
      </c>
      <c r="B2073" s="2" t="str">
        <f t="shared" si="74"/>
        <v xml:space="preserve">  </v>
      </c>
      <c r="C2073" s="1" t="s">
        <v>1737</v>
      </c>
      <c r="D2073" s="1" t="s">
        <v>0</v>
      </c>
      <c r="E2073" s="1" t="s">
        <v>14</v>
      </c>
      <c r="F2073" s="2" t="s">
        <v>0</v>
      </c>
      <c r="G2073" s="17" t="s">
        <v>1769</v>
      </c>
    </row>
    <row r="2074" spans="1:7" ht="72" x14ac:dyDescent="0.25">
      <c r="A2074" s="2" t="str">
        <f>"00089280"</f>
        <v>00089280</v>
      </c>
      <c r="B2074" s="2" t="str">
        <f t="shared" si="74"/>
        <v xml:space="preserve">  </v>
      </c>
      <c r="C2074" s="1" t="s">
        <v>1738</v>
      </c>
      <c r="D2074" s="1" t="s">
        <v>0</v>
      </c>
      <c r="E2074" s="1" t="s">
        <v>14</v>
      </c>
      <c r="F2074" s="2" t="s">
        <v>0</v>
      </c>
      <c r="G2074" s="17" t="s">
        <v>1769</v>
      </c>
    </row>
    <row r="2075" spans="1:7" ht="72" x14ac:dyDescent="0.25">
      <c r="A2075" s="2" t="str">
        <f>"00089281"</f>
        <v>00089281</v>
      </c>
      <c r="B2075" s="2" t="str">
        <f t="shared" si="74"/>
        <v xml:space="preserve">  </v>
      </c>
      <c r="C2075" s="1" t="s">
        <v>1739</v>
      </c>
      <c r="D2075" s="1" t="s">
        <v>0</v>
      </c>
      <c r="E2075" s="1" t="s">
        <v>14</v>
      </c>
      <c r="F2075" s="2" t="s">
        <v>0</v>
      </c>
      <c r="G2075" s="17" t="s">
        <v>1769</v>
      </c>
    </row>
    <row r="2076" spans="1:7" ht="100.5" x14ac:dyDescent="0.25">
      <c r="A2076" s="2" t="str">
        <f>"00089290"</f>
        <v>00089290</v>
      </c>
      <c r="B2076" s="2" t="str">
        <f t="shared" si="74"/>
        <v xml:space="preserve">  </v>
      </c>
      <c r="C2076" s="1" t="s">
        <v>1740</v>
      </c>
      <c r="D2076" s="1" t="s">
        <v>0</v>
      </c>
      <c r="E2076" s="1" t="s">
        <v>14</v>
      </c>
      <c r="F2076" s="2" t="s">
        <v>0</v>
      </c>
      <c r="G2076" s="17" t="s">
        <v>1769</v>
      </c>
    </row>
    <row r="2077" spans="1:7" ht="100.5" x14ac:dyDescent="0.25">
      <c r="A2077" s="2" t="str">
        <f>"00089291"</f>
        <v>00089291</v>
      </c>
      <c r="B2077" s="2" t="str">
        <f t="shared" si="74"/>
        <v xml:space="preserve">  </v>
      </c>
      <c r="C2077" s="1" t="s">
        <v>1741</v>
      </c>
      <c r="D2077" s="1" t="s">
        <v>0</v>
      </c>
      <c r="E2077" s="1" t="s">
        <v>14</v>
      </c>
      <c r="F2077" s="2" t="s">
        <v>0</v>
      </c>
      <c r="G2077" s="17" t="s">
        <v>1769</v>
      </c>
    </row>
    <row r="2078" spans="1:7" ht="86.25" x14ac:dyDescent="0.25">
      <c r="A2078" s="2" t="str">
        <f>"00089300"</f>
        <v>00089300</v>
      </c>
      <c r="B2078" s="2" t="str">
        <f t="shared" si="74"/>
        <v xml:space="preserve">  </v>
      </c>
      <c r="C2078" s="1" t="s">
        <v>1742</v>
      </c>
      <c r="D2078" s="1" t="s">
        <v>0</v>
      </c>
      <c r="E2078" s="1" t="s">
        <v>14</v>
      </c>
      <c r="F2078" s="2" t="s">
        <v>0</v>
      </c>
      <c r="G2078" s="17" t="s">
        <v>1769</v>
      </c>
    </row>
    <row r="2079" spans="1:7" ht="86.25" x14ac:dyDescent="0.25">
      <c r="A2079" s="2" t="str">
        <f>"00089300"</f>
        <v>00089300</v>
      </c>
      <c r="B2079" s="2" t="str">
        <f>"QW"</f>
        <v>QW</v>
      </c>
      <c r="C2079" s="1" t="s">
        <v>1743</v>
      </c>
      <c r="D2079" s="1" t="s">
        <v>0</v>
      </c>
      <c r="E2079" s="1" t="s">
        <v>14</v>
      </c>
      <c r="F2079" s="2" t="s">
        <v>0</v>
      </c>
      <c r="G2079" s="17" t="s">
        <v>1769</v>
      </c>
    </row>
    <row r="2080" spans="1:7" ht="43.5" x14ac:dyDescent="0.25">
      <c r="A2080" s="2" t="str">
        <f>"00089310"</f>
        <v>00089310</v>
      </c>
      <c r="B2080" s="2" t="str">
        <f>"  "</f>
        <v xml:space="preserve">  </v>
      </c>
      <c r="C2080" s="1" t="s">
        <v>1744</v>
      </c>
      <c r="D2080" s="1" t="s">
        <v>0</v>
      </c>
      <c r="E2080" s="1" t="s">
        <v>1745</v>
      </c>
      <c r="F2080" s="2" t="s">
        <v>0</v>
      </c>
      <c r="G2080" s="3">
        <v>8.61</v>
      </c>
    </row>
    <row r="2081" spans="1:7" ht="57.75" x14ac:dyDescent="0.25">
      <c r="A2081" s="2" t="str">
        <f>"00089320"</f>
        <v>00089320</v>
      </c>
      <c r="B2081" s="2" t="str">
        <f>"  "</f>
        <v xml:space="preserve">  </v>
      </c>
      <c r="C2081" s="1" t="s">
        <v>1746</v>
      </c>
      <c r="D2081" s="1" t="s">
        <v>0</v>
      </c>
      <c r="E2081" s="1" t="s">
        <v>1747</v>
      </c>
      <c r="F2081" s="2" t="s">
        <v>0</v>
      </c>
      <c r="G2081" s="3">
        <v>12.31</v>
      </c>
    </row>
    <row r="2082" spans="1:7" ht="43.5" x14ac:dyDescent="0.25">
      <c r="A2082" s="2" t="str">
        <f>"00089321"</f>
        <v>00089321</v>
      </c>
      <c r="B2082" s="2" t="str">
        <f>"  "</f>
        <v xml:space="preserve">  </v>
      </c>
      <c r="C2082" s="1" t="s">
        <v>1748</v>
      </c>
      <c r="D2082" s="1" t="s">
        <v>0</v>
      </c>
      <c r="E2082" s="1" t="s">
        <v>14</v>
      </c>
      <c r="F2082" s="2" t="s">
        <v>0</v>
      </c>
      <c r="G2082" s="17" t="s">
        <v>1769</v>
      </c>
    </row>
    <row r="2083" spans="1:7" ht="43.5" x14ac:dyDescent="0.25">
      <c r="A2083" s="2" t="str">
        <f>"00089321"</f>
        <v>00089321</v>
      </c>
      <c r="B2083" s="2" t="str">
        <f>"QW"</f>
        <v>QW</v>
      </c>
      <c r="C2083" s="1" t="s">
        <v>1748</v>
      </c>
      <c r="D2083" s="1" t="s">
        <v>0</v>
      </c>
      <c r="E2083" s="1" t="s">
        <v>14</v>
      </c>
      <c r="F2083" s="2" t="s">
        <v>0</v>
      </c>
      <c r="G2083" s="17" t="s">
        <v>1769</v>
      </c>
    </row>
    <row r="2084" spans="1:7" ht="72" x14ac:dyDescent="0.25">
      <c r="A2084" s="2" t="str">
        <f>"00089322"</f>
        <v>00089322</v>
      </c>
      <c r="B2084" s="2" t="str">
        <f t="shared" ref="B2084:B2097" si="75">"  "</f>
        <v xml:space="preserve">  </v>
      </c>
      <c r="C2084" s="1" t="s">
        <v>1749</v>
      </c>
      <c r="D2084" s="1" t="s">
        <v>0</v>
      </c>
      <c r="E2084" s="1" t="s">
        <v>14</v>
      </c>
      <c r="F2084" s="2" t="s">
        <v>0</v>
      </c>
      <c r="G2084" s="17" t="s">
        <v>1769</v>
      </c>
    </row>
    <row r="2085" spans="1:7" x14ac:dyDescent="0.25">
      <c r="A2085" s="2" t="str">
        <f>"00089325"</f>
        <v>00089325</v>
      </c>
      <c r="B2085" s="2" t="str">
        <f t="shared" si="75"/>
        <v xml:space="preserve">  </v>
      </c>
      <c r="C2085" s="1" t="s">
        <v>1750</v>
      </c>
      <c r="D2085" s="1" t="s">
        <v>0</v>
      </c>
      <c r="E2085" s="1" t="s">
        <v>14</v>
      </c>
      <c r="F2085" s="2" t="s">
        <v>0</v>
      </c>
      <c r="G2085" s="17" t="s">
        <v>1769</v>
      </c>
    </row>
    <row r="2086" spans="1:7" ht="57.75" x14ac:dyDescent="0.25">
      <c r="A2086" s="2" t="str">
        <f>"00089329"</f>
        <v>00089329</v>
      </c>
      <c r="B2086" s="2" t="str">
        <f t="shared" si="75"/>
        <v xml:space="preserve">  </v>
      </c>
      <c r="C2086" s="1" t="s">
        <v>1751</v>
      </c>
      <c r="D2086" s="1" t="s">
        <v>0</v>
      </c>
      <c r="E2086" s="1" t="s">
        <v>14</v>
      </c>
      <c r="F2086" s="2" t="s">
        <v>0</v>
      </c>
      <c r="G2086" s="17" t="s">
        <v>1769</v>
      </c>
    </row>
    <row r="2087" spans="1:7" ht="72" x14ac:dyDescent="0.25">
      <c r="A2087" s="2" t="str">
        <f>"00089330"</f>
        <v>00089330</v>
      </c>
      <c r="B2087" s="2" t="str">
        <f t="shared" si="75"/>
        <v xml:space="preserve">  </v>
      </c>
      <c r="C2087" s="1" t="s">
        <v>1752</v>
      </c>
      <c r="D2087" s="1" t="s">
        <v>0</v>
      </c>
      <c r="E2087" s="1" t="s">
        <v>14</v>
      </c>
      <c r="F2087" s="2" t="s">
        <v>0</v>
      </c>
      <c r="G2087" s="17" t="s">
        <v>1769</v>
      </c>
    </row>
    <row r="2088" spans="1:7" ht="100.5" x14ac:dyDescent="0.25">
      <c r="A2088" s="2" t="str">
        <f>"00089331"</f>
        <v>00089331</v>
      </c>
      <c r="B2088" s="2" t="str">
        <f t="shared" si="75"/>
        <v xml:space="preserve">  </v>
      </c>
      <c r="C2088" s="1" t="s">
        <v>1753</v>
      </c>
      <c r="D2088" s="1" t="s">
        <v>0</v>
      </c>
      <c r="E2088" s="1" t="s">
        <v>14</v>
      </c>
      <c r="F2088" s="2" t="s">
        <v>0</v>
      </c>
      <c r="G2088" s="17" t="s">
        <v>1769</v>
      </c>
    </row>
    <row r="2089" spans="1:7" ht="43.5" x14ac:dyDescent="0.25">
      <c r="A2089" s="2" t="str">
        <f>"00089335"</f>
        <v>00089335</v>
      </c>
      <c r="B2089" s="2" t="str">
        <f t="shared" si="75"/>
        <v xml:space="preserve">  </v>
      </c>
      <c r="C2089" s="1" t="s">
        <v>1754</v>
      </c>
      <c r="D2089" s="1" t="s">
        <v>0</v>
      </c>
      <c r="E2089" s="1" t="s">
        <v>14</v>
      </c>
      <c r="F2089" s="2" t="s">
        <v>0</v>
      </c>
      <c r="G2089" s="17" t="s">
        <v>1769</v>
      </c>
    </row>
    <row r="2090" spans="1:7" ht="29.25" x14ac:dyDescent="0.25">
      <c r="A2090" s="2" t="str">
        <f>"00089337"</f>
        <v>00089337</v>
      </c>
      <c r="B2090" s="2" t="str">
        <f t="shared" si="75"/>
        <v xml:space="preserve">  </v>
      </c>
      <c r="C2090" s="1" t="s">
        <v>1755</v>
      </c>
      <c r="D2090" s="1" t="s">
        <v>0</v>
      </c>
      <c r="E2090" s="1" t="s">
        <v>14</v>
      </c>
      <c r="F2090" s="2" t="s">
        <v>0</v>
      </c>
      <c r="G2090" s="17" t="s">
        <v>1769</v>
      </c>
    </row>
    <row r="2091" spans="1:7" ht="29.25" x14ac:dyDescent="0.25">
      <c r="A2091" s="2" t="str">
        <f>"00089342"</f>
        <v>00089342</v>
      </c>
      <c r="B2091" s="2" t="str">
        <f t="shared" si="75"/>
        <v xml:space="preserve">  </v>
      </c>
      <c r="C2091" s="1" t="s">
        <v>1756</v>
      </c>
      <c r="D2091" s="1" t="s">
        <v>0</v>
      </c>
      <c r="E2091" s="1" t="s">
        <v>14</v>
      </c>
      <c r="F2091" s="2" t="s">
        <v>0</v>
      </c>
      <c r="G2091" s="17" t="s">
        <v>1769</v>
      </c>
    </row>
    <row r="2092" spans="1:7" ht="29.25" x14ac:dyDescent="0.25">
      <c r="A2092" s="2" t="str">
        <f>"00089343"</f>
        <v>00089343</v>
      </c>
      <c r="B2092" s="2" t="str">
        <f t="shared" si="75"/>
        <v xml:space="preserve">  </v>
      </c>
      <c r="C2092" s="1" t="s">
        <v>1757</v>
      </c>
      <c r="D2092" s="1" t="s">
        <v>0</v>
      </c>
      <c r="E2092" s="1" t="s">
        <v>14</v>
      </c>
      <c r="F2092" s="2" t="s">
        <v>0</v>
      </c>
      <c r="G2092" s="17" t="s">
        <v>1769</v>
      </c>
    </row>
    <row r="2093" spans="1:7" ht="43.5" x14ac:dyDescent="0.25">
      <c r="A2093" s="2" t="str">
        <f>"00089344"</f>
        <v>00089344</v>
      </c>
      <c r="B2093" s="2" t="str">
        <f t="shared" si="75"/>
        <v xml:space="preserve">  </v>
      </c>
      <c r="C2093" s="1" t="s">
        <v>1758</v>
      </c>
      <c r="D2093" s="1" t="s">
        <v>0</v>
      </c>
      <c r="E2093" s="1" t="s">
        <v>14</v>
      </c>
      <c r="F2093" s="2" t="s">
        <v>0</v>
      </c>
      <c r="G2093" s="17" t="s">
        <v>1769</v>
      </c>
    </row>
    <row r="2094" spans="1:7" ht="29.25" x14ac:dyDescent="0.25">
      <c r="A2094" s="2" t="str">
        <f>"00089346"</f>
        <v>00089346</v>
      </c>
      <c r="B2094" s="2" t="str">
        <f t="shared" si="75"/>
        <v xml:space="preserve">  </v>
      </c>
      <c r="C2094" s="1" t="s">
        <v>1759</v>
      </c>
      <c r="D2094" s="1" t="s">
        <v>0</v>
      </c>
      <c r="E2094" s="1" t="s">
        <v>14</v>
      </c>
      <c r="F2094" s="2" t="s">
        <v>0</v>
      </c>
      <c r="G2094" s="17" t="s">
        <v>1769</v>
      </c>
    </row>
    <row r="2095" spans="1:7" ht="43.5" x14ac:dyDescent="0.25">
      <c r="A2095" s="2" t="str">
        <f>"00089352"</f>
        <v>00089352</v>
      </c>
      <c r="B2095" s="2" t="str">
        <f t="shared" si="75"/>
        <v xml:space="preserve">  </v>
      </c>
      <c r="C2095" s="1" t="s">
        <v>1760</v>
      </c>
      <c r="D2095" s="1" t="s">
        <v>0</v>
      </c>
      <c r="E2095" s="1" t="s">
        <v>14</v>
      </c>
      <c r="F2095" s="2" t="s">
        <v>0</v>
      </c>
      <c r="G2095" s="17" t="s">
        <v>1769</v>
      </c>
    </row>
    <row r="2096" spans="1:7" ht="57.75" x14ac:dyDescent="0.25">
      <c r="A2096" s="2" t="str">
        <f>"00089353"</f>
        <v>00089353</v>
      </c>
      <c r="B2096" s="2" t="str">
        <f t="shared" si="75"/>
        <v xml:space="preserve">  </v>
      </c>
      <c r="C2096" s="1" t="s">
        <v>1761</v>
      </c>
      <c r="D2096" s="1" t="s">
        <v>0</v>
      </c>
      <c r="E2096" s="1" t="s">
        <v>14</v>
      </c>
      <c r="F2096" s="2" t="s">
        <v>0</v>
      </c>
      <c r="G2096" s="17" t="s">
        <v>1769</v>
      </c>
    </row>
    <row r="2097" spans="1:7" ht="57.75" x14ac:dyDescent="0.25">
      <c r="A2097" s="2" t="str">
        <f>"00089354"</f>
        <v>00089354</v>
      </c>
      <c r="B2097" s="2" t="str">
        <f t="shared" si="75"/>
        <v xml:space="preserve">  </v>
      </c>
      <c r="C2097" s="1" t="s">
        <v>1762</v>
      </c>
      <c r="D2097" s="1" t="s">
        <v>0</v>
      </c>
      <c r="E2097" s="1" t="s">
        <v>14</v>
      </c>
      <c r="F2097" s="2" t="s">
        <v>0</v>
      </c>
      <c r="G2097" s="17" t="s">
        <v>1769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2024-01-01T06:00:00+00:00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>
      <Value>63</Value>
    </DHHSInternetWCP>
    <Effective_x0020_Date xmlns="76d38050-7b15-4892-beee-6b8430b169cf">2024-01-01T06:00:00+00:00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01EB905-A8EE-49D8-B78C-FFC7AE8A548B}"/>
</file>

<file path=customXml/itemProps2.xml><?xml version="1.0" encoding="utf-8"?>
<ds:datastoreItem xmlns:ds="http://schemas.openxmlformats.org/officeDocument/2006/customXml" ds:itemID="{96D26199-30E6-471B-92C7-4AC02F6119F2}"/>
</file>

<file path=customXml/itemProps3.xml><?xml version="1.0" encoding="utf-8"?>
<ds:datastoreItem xmlns:ds="http://schemas.openxmlformats.org/officeDocument/2006/customXml" ds:itemID="{8DA5D9A9-408B-4F95-9139-FD7894E0FC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05_202401181405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2024-01-18T20:30:27Z</dcterms:created>
  <dcterms:modified xsi:type="dcterms:W3CDTF">2024-01-22T19:50:52Z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60500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